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wmf" ContentType="image/x-w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0" yWindow="0" windowWidth="25200" windowHeight="11400" tabRatio="280" activeTab="0"/>
  </bookViews>
  <sheets>
    <sheet name="Календар" sheetId="1" r:id="rId1"/>
  </sheets>
  <definedNames>
    <definedName name="avans2">#REF!</definedName>
    <definedName name="data2">#REF!</definedName>
    <definedName name="LastFIO" localSheetId="0">'Календар'!#REF!</definedName>
    <definedName name="proc2">#REF!</definedName>
    <definedName name="stoimost2">#REF!</definedName>
    <definedName name="strok2">#REF!</definedName>
    <definedName name="sumkred2">#REF!</definedName>
    <definedName name="sumproplat2">#REF!</definedName>
    <definedName name="_xlnm.Print_Area" localSheetId="0">'Календар'!$B$2:$R$62</definedName>
  </definedNames>
  <calcPr fullCalcOnLoad="1"/>
</workbook>
</file>

<file path=xl/sharedStrings.xml><?xml version="1.0" encoding="utf-8"?>
<sst xmlns="http://schemas.openxmlformats.org/spreadsheetml/2006/main" count="68" uniqueCount="66">
  <si>
    <t>розрахунково-касове обслуговування</t>
  </si>
  <si>
    <t>Х</t>
  </si>
  <si>
    <t>Залишок заборгованості</t>
  </si>
  <si>
    <t>Підключено M-banking</t>
  </si>
  <si>
    <t>Інші послуги, якими можливо скористатися</t>
  </si>
  <si>
    <t>при обслуговуванні - тарифний план</t>
  </si>
  <si>
    <t>Кількість місяців використання овердрафту</t>
  </si>
  <si>
    <t>Комісія за встановлення ліміту овердрафту
(оплачується одноразово при встановленні ліміту)</t>
  </si>
  <si>
    <t>Для розрахунку приймається варіант  подорожчання кредиту за таких умов:</t>
  </si>
  <si>
    <t>Картка моментального випуску</t>
  </si>
  <si>
    <t>Позичальник скористається всією сумою кредитного ліміту в день отримання кредиту шляхом зняття готівки в установі банку, або банкоматі АБ «УКРГАЗБАНК».</t>
  </si>
  <si>
    <t>Процента ставка в пільговий період</t>
  </si>
  <si>
    <t>Щомісячний платіж за страхування життя власника рахунку від фактичної заборгованості станом на 1-е число місяця (не стягується у разі наявності заборгованості менше ніж 100,00 грн, та/або відсутності операцій по рахунку у звітному місяці) становить</t>
  </si>
  <si>
    <t>х</t>
  </si>
  <si>
    <t>банку</t>
  </si>
  <si>
    <t>за обслуговування кредитної заборгованості</t>
  </si>
  <si>
    <t>кредитного посередника (за наявності)</t>
  </si>
  <si>
    <t>комісійний збір</t>
  </si>
  <si>
    <t>інша плата за послуги кредитного посередника</t>
  </si>
  <si>
    <t>третіх осіб</t>
  </si>
  <si>
    <t>послуги нотаріуса</t>
  </si>
  <si>
    <t>послуги оцінювача</t>
  </si>
  <si>
    <t>послуги страховика</t>
  </si>
  <si>
    <t>7</t>
  </si>
  <si>
    <t>№ з/п</t>
  </si>
  <si>
    <t>2</t>
  </si>
  <si>
    <t>3</t>
  </si>
  <si>
    <t>4</t>
  </si>
  <si>
    <t>5</t>
  </si>
  <si>
    <t>Кількість днів у розрахунковому періоді</t>
  </si>
  <si>
    <t>Дата видачі кредиту у формі овердафту/ дата платежу</t>
  </si>
  <si>
    <t>сума кредиту у формі овердрафту за договором</t>
  </si>
  <si>
    <t>6</t>
  </si>
  <si>
    <t>проценти за користування кредитом у формі овердрафту</t>
  </si>
  <si>
    <t>Види платежів за кредитом у формі оведрафту</t>
  </si>
  <si>
    <t>8</t>
  </si>
  <si>
    <t>9</t>
  </si>
  <si>
    <t>10</t>
  </si>
  <si>
    <t>комісія за видачу готівки 
в установах та банкоматах  АБ "УКРГАЗБАНК"</t>
  </si>
  <si>
    <t>11</t>
  </si>
  <si>
    <t>12</t>
  </si>
  <si>
    <t>13</t>
  </si>
  <si>
    <t>14</t>
  </si>
  <si>
    <t>15</t>
  </si>
  <si>
    <t>16</t>
  </si>
  <si>
    <t>інші послуги третії осіб</t>
  </si>
  <si>
    <t>Овер-ДРАЙВ</t>
  </si>
  <si>
    <t>17</t>
  </si>
  <si>
    <t>18</t>
  </si>
  <si>
    <t xml:space="preserve">Реальна річна процентна ставка, 
% </t>
  </si>
  <si>
    <t>Загальна вартість кредиту, грн</t>
  </si>
  <si>
    <t>Таблиця обчислення загальної вартості кредиту для Клієнта та реальної річної процентної ставки за договором про споживчий кредит на початкову (запитувану) суму ліміту дозволеного овердрафту:</t>
  </si>
  <si>
    <r>
      <t xml:space="preserve">комісія за надання </t>
    </r>
    <r>
      <rPr>
        <b/>
        <sz val="8"/>
        <rFont val="Arial Cyr"/>
        <family val="2"/>
      </rPr>
      <t>кредиту у формі овердрафту</t>
    </r>
  </si>
  <si>
    <t>Premier-картка</t>
  </si>
  <si>
    <t>Орієнтовна загальна вартість кредиту для споживача за весь строк користування кредитом (у т.ч. тіло кредиту, відсотки, комісії та інші платежі), грн.</t>
  </si>
  <si>
    <t>Орієнтовна реальна річна процентна ставка, % річних</t>
  </si>
  <si>
    <t>Застереження: наведені обчислення орієнтовної реальної річної процентної ставки та орієнтовної загальної вартості кредиту для споживача є репрезентативними та базуються на обраних споживачем умовах кредитування, викладених вище, і на припущенні, що договір про споживчий кредит залишатиметься дійсним протягом погодженого строку, а кредитодавець і споживач виконають свої обов’язки на умовах та у строки, визначені в договорі. </t>
  </si>
  <si>
    <t>Орієнтовна реальна річна процентна ставка обчислена на основі припущення, що процентна ставка та інші платежі за послуги кредитодавця залишатимуться незмінними та застосовуватимуться протягом строку дії договору про споживчий кредит. 
Орієнтовна реальна річна процентна ставка обчислена з використанням фінансової функції ЧИСТВНДОХ програмного продукту Microsoft Excel.</t>
  </si>
  <si>
    <t>Застереження: використання інших способів надання кредиту та/або зміна інших вищезазначених умов кредитування можуть мати наслідком застосування іншої орієнтовної реальної річної процентної ставки та орієнтовної загальної вартості кредиту для споживача.</t>
  </si>
  <si>
    <r>
      <t xml:space="preserve">Калькулятор витрат
 за програмою кредитування  </t>
    </r>
    <r>
      <rPr>
        <b/>
        <sz val="14"/>
        <rFont val="Arial Cyr"/>
        <family val="0"/>
      </rPr>
      <t>Premier-картка</t>
    </r>
  </si>
  <si>
    <r>
      <t xml:space="preserve">Погашення основної суми боргу за дозволеним овердрафтом  здійснюватиметься щомісяця </t>
    </r>
    <r>
      <rPr>
        <b/>
        <sz val="10"/>
        <rFont val="Times New Roman"/>
        <family val="1"/>
      </rPr>
      <t>до 25 числа</t>
    </r>
    <r>
      <rPr>
        <sz val="10"/>
        <rFont val="Times New Roman"/>
        <family val="1"/>
      </rPr>
      <t xml:space="preserve"> та становить </t>
    </r>
    <r>
      <rPr>
        <b/>
        <sz val="10"/>
        <rFont val="Times New Roman"/>
        <family val="1"/>
      </rPr>
      <t>7%</t>
    </r>
    <r>
      <rPr>
        <sz val="10"/>
        <rFont val="Times New Roman"/>
        <family val="1"/>
      </rPr>
      <t xml:space="preserve"> від фактичної заборгованості по основному боргу на 1-ше число кожного місяця (мінімум </t>
    </r>
    <r>
      <rPr>
        <b/>
        <sz val="10"/>
        <rFont val="Times New Roman"/>
        <family val="1"/>
      </rPr>
      <t>50,00 грн.</t>
    </r>
    <r>
      <rPr>
        <sz val="10"/>
        <rFont val="Times New Roman"/>
        <family val="1"/>
      </rPr>
      <t xml:space="preserve"> але не більше фактичної заборгованості на 1-ше число місяця). При цьому передбачається, що у повному обсязі заборгованість буде погашена в останню дату дії ліміту овердрафту.</t>
    </r>
  </si>
  <si>
    <t>Денна % ставка</t>
  </si>
  <si>
    <t xml:space="preserve">платежі за додаткові та/або супутні послуги </t>
  </si>
  <si>
    <t xml:space="preserve"> - Платежі за додаткові та/або супутні послуги кредитодавця, пов'язані з отриманням, обслуговуванням та поверненням кредиту, грн.</t>
  </si>
  <si>
    <t xml:space="preserve"> - Платежі за додаткові та/або супутні послуги третіх осіб, пов'язані з отриманням, обслуговуванням та поверненням кредиту), грн.</t>
  </si>
  <si>
    <t>Загальні витрати за кредитом (проценти за користуваннґ кредитом, комісії та інші обов'язкові платежі за додаткові та/або супутні послуги кредитодавця,кредитного посередника (за наявності) та третії осіб, пов'язані з отриманням, обслуговуванням та поверненням кредиту), грн., з них:</t>
  </si>
</sst>
</file>

<file path=xl/styles.xml><?xml version="1.0" encoding="utf-8"?>
<styleSheet xmlns="http://schemas.openxmlformats.org/spreadsheetml/2006/main">
  <numFmts count="39">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_-* #,##0\ _₴_-;\-* #,##0\ _₴_-;_-* &quot;-&quot;\ _₴_-;_-@_-"/>
    <numFmt numFmtId="165" formatCode="_-* #,##0.00\ _₴_-;\-* #,##0.00\ _₴_-;_-* &quot;-&quot;??\ _₴_-;_-@_-"/>
    <numFmt numFmtId="166" formatCode="#,##0&quot;₴&quot;;\-#,##0&quot;₴&quot;"/>
    <numFmt numFmtId="167" formatCode="#,##0&quot;₴&quot;;[Red]\-#,##0&quot;₴&quot;"/>
    <numFmt numFmtId="168" formatCode="#,##0.00&quot;₴&quot;;\-#,##0.00&quot;₴&quot;"/>
    <numFmt numFmtId="169" formatCode="#,##0.00&quot;₴&quot;;[Red]\-#,##0.00&quot;₴&quot;"/>
    <numFmt numFmtId="170" formatCode="_-* #,##0&quot;₴&quot;_-;\-* #,##0&quot;₴&quot;_-;_-* &quot;-&quot;&quot;₴&quot;_-;_-@_-"/>
    <numFmt numFmtId="171" formatCode="_-* #,##0_₴_-;\-* #,##0_₴_-;_-* &quot;-&quot;_₴_-;_-@_-"/>
    <numFmt numFmtId="172" formatCode="_-* #,##0.00&quot;₴&quot;_-;\-* #,##0.00&quot;₴&quot;_-;_-* &quot;-&quot;??&quot;₴&quot;_-;_-@_-"/>
    <numFmt numFmtId="173" formatCode="_-* #,##0.00_₴_-;\-* #,##0.00_₴_-;_-* &quot;-&quot;??_₴_-;_-@_-"/>
    <numFmt numFmtId="174" formatCode="#,##0\ &quot;₽&quot;;\-#,##0\ &quot;₽&quot;"/>
    <numFmt numFmtId="175" formatCode="#,##0\ &quot;₽&quot;;[Red]\-#,##0\ &quot;₽&quot;"/>
    <numFmt numFmtId="176" formatCode="#,##0.00\ &quot;₽&quot;;\-#,##0.00\ &quot;₽&quot;"/>
    <numFmt numFmtId="177" formatCode="#,##0.00\ &quot;₽&quot;;[Red]\-#,##0.00\ &quot;₽&quot;"/>
    <numFmt numFmtId="178" formatCode="_-* #,##0\ &quot;₽&quot;_-;\-* #,##0\ &quot;₽&quot;_-;_-* &quot;-&quot;\ &quot;₽&quot;_-;_-@_-"/>
    <numFmt numFmtId="179" formatCode="_-* #,##0\ _₽_-;\-* #,##0\ _₽_-;_-* &quot;-&quot;\ _₽_-;_-@_-"/>
    <numFmt numFmtId="180" formatCode="_-* #,##0.00\ &quot;₽&quot;_-;\-* #,##0.00\ &quot;₽&quot;_-;_-* &quot;-&quot;??\ &quot;₽&quot;_-;_-@_-"/>
    <numFmt numFmtId="181" formatCode="_-* #,##0.00\ _₽_-;\-* #,##0.00\ _₽_-;_-* &quot;-&quot;??\ _₽_-;_-@_-"/>
    <numFmt numFmtId="182" formatCode="_-* #,##0&quot;р.&quot;_-;\-* #,##0&quot;р.&quot;_-;_-* &quot;-&quot;&quot;р.&quot;_-;_-@_-"/>
    <numFmt numFmtId="183" formatCode="_-* #,##0_р_._-;\-* #,##0_р_._-;_-* &quot;-&quot;_р_._-;_-@_-"/>
    <numFmt numFmtId="184" formatCode="_-* #,##0.00&quot;р.&quot;_-;\-* #,##0.00&quot;р.&quot;_-;_-* &quot;-&quot;??&quot;р.&quot;_-;_-@_-"/>
    <numFmt numFmtId="185" formatCode="_-* #,##0.00_р_._-;\-* #,##0.00_р_._-;_-* &quot;-&quot;??_р_._-;_-@_-"/>
    <numFmt numFmtId="186" formatCode="0.0%"/>
    <numFmt numFmtId="187" formatCode="#,##0.0000"/>
    <numFmt numFmtId="188" formatCode="0.0000%"/>
    <numFmt numFmtId="189" formatCode="[$-422]d\ mmmm\ yyyy&quot; р.&quot;"/>
    <numFmt numFmtId="190" formatCode="0.00000%"/>
    <numFmt numFmtId="191" formatCode="&quot;Да&quot;;&quot;Да&quot;;&quot;Нет&quot;"/>
    <numFmt numFmtId="192" formatCode="&quot;Истина&quot;;&quot;Истина&quot;;&quot;Ложь&quot;"/>
    <numFmt numFmtId="193" formatCode="&quot;Вкл&quot;;&quot;Вкл&quot;;&quot;Выкл&quot;"/>
    <numFmt numFmtId="194" formatCode="[$€-2]\ ###,000_);[Red]\([$€-2]\ ###,000\)"/>
  </numFmts>
  <fonts count="70">
    <font>
      <sz val="10"/>
      <name val="Arial Cyr"/>
      <family val="0"/>
    </font>
    <font>
      <u val="single"/>
      <sz val="10"/>
      <color indexed="12"/>
      <name val="Arial Cyr"/>
      <family val="2"/>
    </font>
    <font>
      <u val="single"/>
      <sz val="10"/>
      <color indexed="36"/>
      <name val="Arial Cyr"/>
      <family val="2"/>
    </font>
    <font>
      <sz val="8"/>
      <name val="Arial Cyr"/>
      <family val="2"/>
    </font>
    <font>
      <b/>
      <sz val="8"/>
      <color indexed="10"/>
      <name val="Arial Cyr"/>
      <family val="2"/>
    </font>
    <font>
      <sz val="14"/>
      <name val="Arial Cyr"/>
      <family val="2"/>
    </font>
    <font>
      <b/>
      <sz val="8"/>
      <name val="Arial Cyr"/>
      <family val="2"/>
    </font>
    <font>
      <b/>
      <sz val="9"/>
      <name val="Arial Cyr"/>
      <family val="0"/>
    </font>
    <font>
      <b/>
      <sz val="12"/>
      <name val="Arial Cyr"/>
      <family val="2"/>
    </font>
    <font>
      <sz val="8"/>
      <color indexed="23"/>
      <name val="Arial Cyr"/>
      <family val="2"/>
    </font>
    <font>
      <sz val="11"/>
      <name val="Times New Roman"/>
      <family val="1"/>
    </font>
    <font>
      <sz val="8"/>
      <name val="Times New Roman"/>
      <family val="1"/>
    </font>
    <font>
      <b/>
      <sz val="10"/>
      <name val="Times New Roman"/>
      <family val="1"/>
    </font>
    <font>
      <sz val="10"/>
      <name val="Times New Roman"/>
      <family val="1"/>
    </font>
    <font>
      <b/>
      <sz val="14"/>
      <name val="Arial Cyr"/>
      <family val="0"/>
    </font>
    <font>
      <sz val="11"/>
      <color indexed="8"/>
      <name val="Calibri"/>
      <family val="2"/>
    </font>
    <font>
      <sz val="11"/>
      <color indexed="9"/>
      <name val="Calibri"/>
      <family val="2"/>
    </font>
    <font>
      <sz val="11"/>
      <color indexed="62"/>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52"/>
      <name val="Calibri"/>
      <family val="2"/>
    </font>
    <font>
      <b/>
      <sz val="11"/>
      <color indexed="9"/>
      <name val="Calibri"/>
      <family val="2"/>
    </font>
    <font>
      <b/>
      <sz val="18"/>
      <color indexed="56"/>
      <name val="Cambria"/>
      <family val="2"/>
    </font>
    <font>
      <sz val="11"/>
      <color indexed="60"/>
      <name val="Calibri"/>
      <family val="2"/>
    </font>
    <font>
      <b/>
      <sz val="11"/>
      <color indexed="52"/>
      <name val="Calibri"/>
      <family val="2"/>
    </font>
    <font>
      <b/>
      <sz val="11"/>
      <color indexed="8"/>
      <name val="Calibri"/>
      <family val="2"/>
    </font>
    <font>
      <sz val="11"/>
      <color indexed="20"/>
      <name val="Calibri"/>
      <family val="2"/>
    </font>
    <font>
      <b/>
      <sz val="11"/>
      <color indexed="63"/>
      <name val="Calibri"/>
      <family val="2"/>
    </font>
    <font>
      <sz val="11"/>
      <color indexed="10"/>
      <name val="Calibri"/>
      <family val="2"/>
    </font>
    <font>
      <i/>
      <sz val="11"/>
      <color indexed="23"/>
      <name val="Calibri"/>
      <family val="2"/>
    </font>
    <font>
      <sz val="8"/>
      <color indexed="9"/>
      <name val="Arial Cyr"/>
      <family val="2"/>
    </font>
    <font>
      <b/>
      <sz val="8"/>
      <color indexed="9"/>
      <name val="Arial Cyr"/>
      <family val="2"/>
    </font>
    <font>
      <sz val="14"/>
      <color indexed="9"/>
      <name val="Arial Cyr"/>
      <family val="2"/>
    </font>
    <font>
      <sz val="9"/>
      <color indexed="9"/>
      <name val="Arial Cyr"/>
      <family val="2"/>
    </font>
    <font>
      <sz val="8"/>
      <color indexed="22"/>
      <name val="Arial Cyr"/>
      <family val="2"/>
    </font>
    <font>
      <sz val="14"/>
      <color indexed="22"/>
      <name val="Arial Cyr"/>
      <family val="2"/>
    </font>
    <font>
      <b/>
      <sz val="8"/>
      <color indexed="22"/>
      <name val="Arial Cyr"/>
      <family val="2"/>
    </font>
    <font>
      <sz val="10"/>
      <color indexed="22"/>
      <name val="Times New Roman"/>
      <family val="1"/>
    </font>
    <font>
      <sz val="12"/>
      <name val="Calibri"/>
      <family val="2"/>
    </font>
    <font>
      <sz val="12"/>
      <color indexed="9"/>
      <name val="Arial Cyr"/>
      <family val="2"/>
    </font>
    <font>
      <sz val="8"/>
      <name val="Segoe UI"/>
      <family val="2"/>
    </font>
    <font>
      <sz val="11"/>
      <color theme="1"/>
      <name val="Calibri"/>
      <family val="2"/>
    </font>
    <font>
      <sz val="11"/>
      <color theme="0"/>
      <name val="Calibri"/>
      <family val="2"/>
    </font>
    <font>
      <sz val="11"/>
      <color rgb="FF3F3F76"/>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FA7D00"/>
      <name val="Calibri"/>
      <family val="2"/>
    </font>
    <font>
      <b/>
      <sz val="11"/>
      <color theme="0"/>
      <name val="Calibri"/>
      <family val="2"/>
    </font>
    <font>
      <b/>
      <sz val="18"/>
      <color theme="3"/>
      <name val="Cambria"/>
      <family val="2"/>
    </font>
    <font>
      <sz val="11"/>
      <color rgb="FF9C6500"/>
      <name val="Calibri"/>
      <family val="2"/>
    </font>
    <font>
      <b/>
      <sz val="11"/>
      <color rgb="FFFA7D00"/>
      <name val="Calibri"/>
      <family val="2"/>
    </font>
    <font>
      <b/>
      <sz val="11"/>
      <color theme="1"/>
      <name val="Calibri"/>
      <family val="2"/>
    </font>
    <font>
      <sz val="11"/>
      <color rgb="FF9C0006"/>
      <name val="Calibri"/>
      <family val="2"/>
    </font>
    <font>
      <b/>
      <sz val="11"/>
      <color rgb="FF3F3F3F"/>
      <name val="Calibri"/>
      <family val="2"/>
    </font>
    <font>
      <sz val="11"/>
      <color rgb="FFFF0000"/>
      <name val="Calibri"/>
      <family val="2"/>
    </font>
    <font>
      <i/>
      <sz val="11"/>
      <color rgb="FF7F7F7F"/>
      <name val="Calibri"/>
      <family val="2"/>
    </font>
    <font>
      <sz val="8"/>
      <color theme="0"/>
      <name val="Arial Cyr"/>
      <family val="2"/>
    </font>
    <font>
      <b/>
      <sz val="8"/>
      <color theme="0"/>
      <name val="Arial Cyr"/>
      <family val="2"/>
    </font>
    <font>
      <sz val="14"/>
      <color theme="0"/>
      <name val="Arial Cyr"/>
      <family val="2"/>
    </font>
    <font>
      <b/>
      <sz val="8"/>
      <color rgb="FFFF0000"/>
      <name val="Arial Cyr"/>
      <family val="0"/>
    </font>
    <font>
      <sz val="9"/>
      <color theme="0"/>
      <name val="Arial Cyr"/>
      <family val="2"/>
    </font>
    <font>
      <sz val="8"/>
      <color theme="0" tint="-0.1499900072813034"/>
      <name val="Arial Cyr"/>
      <family val="2"/>
    </font>
    <font>
      <sz val="14"/>
      <color theme="0" tint="-0.1499900072813034"/>
      <name val="Arial Cyr"/>
      <family val="2"/>
    </font>
    <font>
      <b/>
      <sz val="8"/>
      <color theme="0" tint="-0.1499900072813034"/>
      <name val="Arial Cyr"/>
      <family val="2"/>
    </font>
    <font>
      <sz val="10"/>
      <color theme="0" tint="-0.1499900072813034"/>
      <name val="Times New Roman"/>
      <family val="1"/>
    </font>
    <font>
      <sz val="12"/>
      <color theme="0"/>
      <name val="Arial Cyr"/>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C6EFCE"/>
        <bgColor indexed="64"/>
      </patternFill>
    </fill>
    <fill>
      <patternFill patternType="solid">
        <fgColor rgb="FFA5A5A5"/>
        <bgColor indexed="64"/>
      </patternFill>
    </fill>
    <fill>
      <patternFill patternType="solid">
        <fgColor rgb="FFFFEB9C"/>
        <bgColor indexed="64"/>
      </patternFill>
    </fill>
    <fill>
      <patternFill patternType="solid">
        <fgColor rgb="FFF2F2F2"/>
        <bgColor indexed="64"/>
      </patternFill>
    </fill>
    <fill>
      <patternFill patternType="solid">
        <fgColor rgb="FFFFC7CE"/>
        <bgColor indexed="64"/>
      </patternFill>
    </fill>
    <fill>
      <patternFill patternType="solid">
        <fgColor rgb="FFFFFFCC"/>
        <bgColor indexed="64"/>
      </patternFill>
    </fill>
    <fill>
      <patternFill patternType="solid">
        <fgColor theme="0"/>
        <bgColor indexed="64"/>
      </patternFill>
    </fill>
    <fill>
      <patternFill patternType="solid">
        <fgColor rgb="FFFFFFFF"/>
        <bgColor indexed="64"/>
      </patternFill>
    </fill>
  </fills>
  <borders count="33">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style="hair"/>
      <right style="hair"/>
      <top style="hair"/>
      <bottom style="hair"/>
    </border>
    <border>
      <left style="hair"/>
      <right style="hair"/>
      <top style="hair"/>
      <bottom>
        <color indexed="63"/>
      </bottom>
    </border>
    <border>
      <left style="hair"/>
      <right style="hair"/>
      <top>
        <color indexed="63"/>
      </top>
      <bottom style="hair"/>
    </border>
    <border>
      <left style="thin"/>
      <right style="thin"/>
      <top style="thin"/>
      <bottom style="thin"/>
    </border>
    <border>
      <left>
        <color indexed="63"/>
      </left>
      <right style="hair"/>
      <top style="hair"/>
      <bottom style="hair"/>
    </border>
    <border>
      <left style="hair"/>
      <right>
        <color indexed="63"/>
      </right>
      <top style="hair"/>
      <bottom style="hair"/>
    </border>
    <border>
      <left>
        <color indexed="63"/>
      </left>
      <right style="thin"/>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style="thin"/>
      <top style="thin"/>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hair"/>
      <right>
        <color indexed="63"/>
      </right>
      <top style="hair"/>
      <bottom>
        <color indexed="63"/>
      </bottom>
    </border>
    <border>
      <left style="hair"/>
      <right>
        <color indexed="63"/>
      </right>
      <top>
        <color indexed="63"/>
      </top>
      <bottom style="hair"/>
    </border>
    <border>
      <left style="hair"/>
      <right style="hair"/>
      <top>
        <color indexed="63"/>
      </top>
      <bottom>
        <color indexed="63"/>
      </bottom>
    </border>
    <border>
      <left>
        <color indexed="63"/>
      </left>
      <right>
        <color indexed="63"/>
      </right>
      <top style="hair"/>
      <bottom style="hair"/>
    </border>
    <border>
      <left>
        <color indexed="63"/>
      </left>
      <right>
        <color indexed="63"/>
      </right>
      <top style="hair"/>
      <bottom>
        <color indexed="63"/>
      </bottom>
    </border>
    <border>
      <left style="thin"/>
      <right>
        <color indexed="63"/>
      </right>
      <top>
        <color indexed="63"/>
      </top>
      <bottom style="thin"/>
    </border>
    <border>
      <left>
        <color indexed="63"/>
      </left>
      <right>
        <color indexed="63"/>
      </right>
      <top>
        <color indexed="63"/>
      </top>
      <bottom style="thin"/>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3" fillId="2" borderId="0" applyNumberFormat="0" applyBorder="0" applyAlignment="0" applyProtection="0"/>
    <xf numFmtId="0" fontId="43" fillId="3" borderId="0" applyNumberFormat="0" applyBorder="0" applyAlignment="0" applyProtection="0"/>
    <xf numFmtId="0" fontId="43" fillId="4" borderId="0" applyNumberFormat="0" applyBorder="0" applyAlignment="0" applyProtection="0"/>
    <xf numFmtId="0" fontId="43" fillId="5" borderId="0" applyNumberFormat="0" applyBorder="0" applyAlignment="0" applyProtection="0"/>
    <xf numFmtId="0" fontId="43" fillId="6" borderId="0" applyNumberFormat="0" applyBorder="0" applyAlignment="0" applyProtection="0"/>
    <xf numFmtId="0" fontId="43" fillId="7" borderId="0" applyNumberFormat="0" applyBorder="0" applyAlignment="0" applyProtection="0"/>
    <xf numFmtId="0" fontId="43" fillId="8" borderId="0" applyNumberFormat="0" applyBorder="0" applyAlignment="0" applyProtection="0"/>
    <xf numFmtId="0" fontId="43" fillId="9" borderId="0" applyNumberFormat="0" applyBorder="0" applyAlignment="0" applyProtection="0"/>
    <xf numFmtId="0" fontId="43" fillId="10" borderId="0" applyNumberFormat="0" applyBorder="0" applyAlignment="0" applyProtection="0"/>
    <xf numFmtId="0" fontId="43" fillId="11" borderId="0" applyNumberFormat="0" applyBorder="0" applyAlignment="0" applyProtection="0"/>
    <xf numFmtId="0" fontId="43" fillId="12" borderId="0" applyNumberFormat="0" applyBorder="0" applyAlignment="0" applyProtection="0"/>
    <xf numFmtId="0" fontId="43" fillId="13" borderId="0" applyNumberFormat="0" applyBorder="0" applyAlignment="0" applyProtection="0"/>
    <xf numFmtId="0" fontId="44" fillId="14" borderId="0" applyNumberFormat="0" applyBorder="0" applyAlignment="0" applyProtection="0"/>
    <xf numFmtId="0" fontId="44" fillId="15" borderId="0" applyNumberFormat="0" applyBorder="0" applyAlignment="0" applyProtection="0"/>
    <xf numFmtId="0" fontId="44" fillId="16" borderId="0" applyNumberFormat="0" applyBorder="0" applyAlignment="0" applyProtection="0"/>
    <xf numFmtId="0" fontId="44" fillId="17" borderId="0" applyNumberFormat="0" applyBorder="0" applyAlignment="0" applyProtection="0"/>
    <xf numFmtId="0" fontId="44" fillId="18" borderId="0" applyNumberFormat="0" applyBorder="0" applyAlignment="0" applyProtection="0"/>
    <xf numFmtId="0" fontId="44" fillId="19" borderId="0" applyNumberFormat="0" applyBorder="0" applyAlignment="0" applyProtection="0"/>
    <xf numFmtId="0" fontId="44" fillId="20" borderId="0" applyNumberFormat="0" applyBorder="0" applyAlignment="0" applyProtection="0"/>
    <xf numFmtId="0" fontId="44" fillId="21" borderId="0" applyNumberFormat="0" applyBorder="0" applyAlignment="0" applyProtection="0"/>
    <xf numFmtId="0" fontId="44" fillId="22" borderId="0" applyNumberFormat="0" applyBorder="0" applyAlignment="0" applyProtection="0"/>
    <xf numFmtId="0" fontId="44" fillId="23" borderId="0" applyNumberFormat="0" applyBorder="0" applyAlignment="0" applyProtection="0"/>
    <xf numFmtId="0" fontId="44" fillId="24" borderId="0" applyNumberFormat="0" applyBorder="0" applyAlignment="0" applyProtection="0"/>
    <xf numFmtId="0" fontId="44" fillId="25" borderId="0" applyNumberFormat="0" applyBorder="0" applyAlignment="0" applyProtection="0"/>
    <xf numFmtId="0" fontId="45" fillId="26" borderId="1" applyNumberFormat="0" applyAlignment="0" applyProtection="0"/>
    <xf numFmtId="9" fontId="0" fillId="0" borderId="0" applyFont="0" applyFill="0" applyBorder="0" applyAlignment="0" applyProtection="0"/>
    <xf numFmtId="0" fontId="46" fillId="27" borderId="0" applyNumberFormat="0" applyBorder="0" applyAlignment="0" applyProtection="0"/>
    <xf numFmtId="0" fontId="1" fillId="0" borderId="0" applyNumberFormat="0" applyFill="0" applyBorder="0" applyAlignment="0" applyProtection="0"/>
    <xf numFmtId="184" fontId="0" fillId="0" borderId="0" applyFont="0" applyFill="0" applyBorder="0" applyAlignment="0" applyProtection="0"/>
    <xf numFmtId="182" fontId="0" fillId="0" borderId="0" applyFont="0" applyFill="0" applyBorder="0" applyAlignment="0" applyProtection="0"/>
    <xf numFmtId="0" fontId="47" fillId="0" borderId="2" applyNumberFormat="0" applyFill="0" applyAlignment="0" applyProtection="0"/>
    <xf numFmtId="0" fontId="48" fillId="0" borderId="3" applyNumberFormat="0" applyFill="0" applyAlignment="0" applyProtection="0"/>
    <xf numFmtId="0" fontId="49" fillId="0" borderId="4" applyNumberFormat="0" applyFill="0" applyAlignment="0" applyProtection="0"/>
    <xf numFmtId="0" fontId="49" fillId="0" borderId="0" applyNumberFormat="0" applyFill="0" applyBorder="0" applyAlignment="0" applyProtection="0"/>
    <xf numFmtId="0" fontId="50" fillId="0" borderId="5" applyNumberFormat="0" applyFill="0" applyAlignment="0" applyProtection="0"/>
    <xf numFmtId="0" fontId="51" fillId="28" borderId="6" applyNumberFormat="0" applyAlignment="0" applyProtection="0"/>
    <xf numFmtId="0" fontId="52" fillId="0" borderId="0" applyNumberFormat="0" applyFill="0" applyBorder="0" applyAlignment="0" applyProtection="0"/>
    <xf numFmtId="0" fontId="53" fillId="29" borderId="0" applyNumberFormat="0" applyBorder="0" applyAlignment="0" applyProtection="0"/>
    <xf numFmtId="0" fontId="54" fillId="30" borderId="1" applyNumberFormat="0" applyAlignment="0" applyProtection="0"/>
    <xf numFmtId="0" fontId="43" fillId="0" borderId="0">
      <alignment/>
      <protection/>
    </xf>
    <xf numFmtId="0" fontId="2" fillId="0" borderId="0" applyNumberFormat="0" applyFill="0" applyBorder="0" applyAlignment="0" applyProtection="0"/>
    <xf numFmtId="0" fontId="55" fillId="0" borderId="7" applyNumberFormat="0" applyFill="0" applyAlignment="0" applyProtection="0"/>
    <xf numFmtId="0" fontId="56" fillId="31" borderId="0" applyNumberFormat="0" applyBorder="0" applyAlignment="0" applyProtection="0"/>
    <xf numFmtId="0" fontId="0" fillId="32" borderId="8" applyNumberFormat="0" applyFont="0" applyAlignment="0" applyProtection="0"/>
    <xf numFmtId="9" fontId="0" fillId="0" borderId="0" applyFont="0" applyFill="0" applyBorder="0" applyAlignment="0" applyProtection="0"/>
    <xf numFmtId="0" fontId="57" fillId="30" borderId="9" applyNumberFormat="0" applyAlignment="0" applyProtection="0"/>
    <xf numFmtId="0" fontId="58" fillId="0" borderId="0" applyNumberFormat="0" applyFill="0" applyBorder="0" applyAlignment="0" applyProtection="0"/>
    <xf numFmtId="0" fontId="59" fillId="0" borderId="0" applyNumberFormat="0" applyFill="0" applyBorder="0" applyAlignment="0" applyProtection="0"/>
    <xf numFmtId="185" fontId="0" fillId="0" borderId="0" applyFont="0" applyFill="0" applyBorder="0" applyAlignment="0" applyProtection="0"/>
    <xf numFmtId="183" fontId="0" fillId="0" borderId="0" applyFont="0" applyFill="0" applyBorder="0" applyAlignment="0" applyProtection="0"/>
  </cellStyleXfs>
  <cellXfs count="152">
    <xf numFmtId="0" fontId="0" fillId="0" borderId="0" xfId="0" applyAlignment="1">
      <alignment/>
    </xf>
    <xf numFmtId="0" fontId="3" fillId="0" borderId="0" xfId="0" applyFont="1" applyAlignment="1">
      <alignment horizontal="left"/>
    </xf>
    <xf numFmtId="4" fontId="3" fillId="0" borderId="0" xfId="0" applyNumberFormat="1" applyFont="1" applyBorder="1" applyAlignment="1">
      <alignment horizontal="left"/>
    </xf>
    <xf numFmtId="0" fontId="3" fillId="0" borderId="0" xfId="0" applyFont="1" applyAlignment="1">
      <alignment/>
    </xf>
    <xf numFmtId="0" fontId="4" fillId="0" borderId="0" xfId="0" applyFont="1" applyAlignment="1">
      <alignment/>
    </xf>
    <xf numFmtId="0" fontId="3" fillId="0" borderId="0" xfId="0" applyFont="1" applyBorder="1" applyAlignment="1">
      <alignment/>
    </xf>
    <xf numFmtId="10" fontId="3" fillId="0" borderId="10" xfId="40" applyNumberFormat="1" applyFont="1" applyBorder="1" applyAlignment="1">
      <alignment horizontal="center"/>
    </xf>
    <xf numFmtId="0" fontId="3" fillId="0" borderId="10" xfId="0" applyFont="1" applyBorder="1" applyAlignment="1">
      <alignment horizontal="center" vertical="top" wrapText="1"/>
    </xf>
    <xf numFmtId="49" fontId="3" fillId="0" borderId="11" xfId="0" applyNumberFormat="1" applyFont="1" applyBorder="1" applyAlignment="1">
      <alignment horizontal="center"/>
    </xf>
    <xf numFmtId="49" fontId="3" fillId="0" borderId="12" xfId="0" applyNumberFormat="1" applyFont="1" applyBorder="1" applyAlignment="1">
      <alignment horizontal="center"/>
    </xf>
    <xf numFmtId="0" fontId="5" fillId="0" borderId="0" xfId="0" applyFont="1" applyAlignment="1">
      <alignment/>
    </xf>
    <xf numFmtId="0" fontId="5" fillId="0" borderId="0" xfId="0" applyFont="1" applyAlignment="1">
      <alignment horizontal="left"/>
    </xf>
    <xf numFmtId="9" fontId="3" fillId="0" borderId="13" xfId="40" applyFont="1" applyBorder="1" applyAlignment="1">
      <alignment horizontal="center"/>
    </xf>
    <xf numFmtId="186" fontId="3" fillId="0" borderId="13" xfId="40" applyNumberFormat="1" applyFont="1" applyBorder="1" applyAlignment="1">
      <alignment horizontal="center"/>
    </xf>
    <xf numFmtId="14" fontId="3" fillId="0" borderId="0" xfId="0" applyNumberFormat="1" applyFont="1" applyAlignment="1">
      <alignment/>
    </xf>
    <xf numFmtId="0" fontId="6" fillId="0" borderId="0" xfId="0" applyFont="1" applyAlignment="1">
      <alignment/>
    </xf>
    <xf numFmtId="3" fontId="3" fillId="0" borderId="13" xfId="0" applyNumberFormat="1" applyFont="1" applyBorder="1" applyAlignment="1">
      <alignment horizontal="left"/>
    </xf>
    <xf numFmtId="186" fontId="3" fillId="0" borderId="13" xfId="0" applyNumberFormat="1" applyFont="1" applyBorder="1" applyAlignment="1">
      <alignment horizontal="center"/>
    </xf>
    <xf numFmtId="0" fontId="60" fillId="0" borderId="0" xfId="0" applyFont="1" applyAlignment="1">
      <alignment/>
    </xf>
    <xf numFmtId="0" fontId="3" fillId="33" borderId="0" xfId="0" applyFont="1" applyFill="1" applyAlignment="1">
      <alignment/>
    </xf>
    <xf numFmtId="0" fontId="3" fillId="33" borderId="0" xfId="0" applyFont="1" applyFill="1" applyAlignment="1">
      <alignment horizontal="left"/>
    </xf>
    <xf numFmtId="0" fontId="61" fillId="0" borderId="0" xfId="0" applyFont="1" applyAlignment="1">
      <alignment/>
    </xf>
    <xf numFmtId="4" fontId="3" fillId="0" borderId="0" xfId="0" applyNumberFormat="1" applyFont="1" applyAlignment="1">
      <alignment horizontal="left"/>
    </xf>
    <xf numFmtId="14" fontId="3" fillId="0" borderId="13" xfId="0" applyNumberFormat="1" applyFont="1" applyBorder="1" applyAlignment="1" applyProtection="1">
      <alignment horizontal="left"/>
      <protection hidden="1"/>
    </xf>
    <xf numFmtId="14" fontId="3" fillId="0" borderId="13" xfId="0" applyNumberFormat="1" applyFont="1" applyBorder="1" applyAlignment="1" applyProtection="1">
      <alignment horizontal="left"/>
      <protection locked="0"/>
    </xf>
    <xf numFmtId="0" fontId="3" fillId="0" borderId="14" xfId="0" applyFont="1" applyBorder="1" applyAlignment="1">
      <alignment horizontal="center" vertical="top" wrapText="1"/>
    </xf>
    <xf numFmtId="14" fontId="3" fillId="0" borderId="10" xfId="0" applyNumberFormat="1" applyFont="1" applyBorder="1" applyAlignment="1">
      <alignment horizontal="center"/>
    </xf>
    <xf numFmtId="4" fontId="3" fillId="0" borderId="10" xfId="0" applyNumberFormat="1" applyFont="1" applyBorder="1" applyAlignment="1">
      <alignment horizontal="center" vertical="center"/>
    </xf>
    <xf numFmtId="0" fontId="3" fillId="0" borderId="10" xfId="0" applyFont="1" applyBorder="1" applyAlignment="1">
      <alignment horizontal="center" vertical="center"/>
    </xf>
    <xf numFmtId="4" fontId="3" fillId="0" borderId="10" xfId="0" applyNumberFormat="1" applyFont="1" applyFill="1" applyBorder="1" applyAlignment="1">
      <alignment horizontal="center" vertical="center"/>
    </xf>
    <xf numFmtId="14" fontId="3" fillId="0" borderId="10" xfId="0" applyNumberFormat="1" applyFont="1" applyBorder="1" applyAlignment="1">
      <alignment horizontal="center" vertical="center"/>
    </xf>
    <xf numFmtId="0" fontId="60" fillId="0" borderId="0" xfId="0" applyFont="1" applyAlignment="1">
      <alignment horizontal="left"/>
    </xf>
    <xf numFmtId="0" fontId="3" fillId="0" borderId="0" xfId="0" applyFont="1" applyAlignment="1">
      <alignment vertical="center"/>
    </xf>
    <xf numFmtId="186" fontId="60" fillId="0" borderId="0" xfId="40" applyNumberFormat="1" applyFont="1" applyAlignment="1">
      <alignment/>
    </xf>
    <xf numFmtId="4" fontId="60" fillId="0" borderId="0" xfId="0" applyNumberFormat="1" applyFont="1" applyAlignment="1">
      <alignment/>
    </xf>
    <xf numFmtId="0" fontId="62" fillId="0" borderId="0" xfId="0" applyFont="1" applyAlignment="1">
      <alignment/>
    </xf>
    <xf numFmtId="1" fontId="3" fillId="0" borderId="13" xfId="0" applyNumberFormat="1" applyFont="1" applyBorder="1" applyAlignment="1">
      <alignment horizontal="left" vertical="center"/>
    </xf>
    <xf numFmtId="186" fontId="3" fillId="0" borderId="0" xfId="0" applyNumberFormat="1" applyFont="1" applyFill="1" applyBorder="1" applyAlignment="1">
      <alignment horizontal="left"/>
    </xf>
    <xf numFmtId="0" fontId="3" fillId="0" borderId="0" xfId="0" applyFont="1" applyAlignment="1">
      <alignment vertical="top" wrapText="1"/>
    </xf>
    <xf numFmtId="10" fontId="3" fillId="0" borderId="0" xfId="0" applyNumberFormat="1" applyFont="1" applyAlignment="1">
      <alignment horizontal="left" vertical="center" wrapText="1"/>
    </xf>
    <xf numFmtId="186" fontId="3" fillId="0" borderId="0" xfId="0" applyNumberFormat="1" applyFont="1" applyBorder="1" applyAlignment="1">
      <alignment horizontal="center"/>
    </xf>
    <xf numFmtId="186" fontId="3" fillId="0" borderId="0" xfId="40" applyNumberFormat="1" applyFont="1" applyBorder="1" applyAlignment="1">
      <alignment horizontal="center"/>
    </xf>
    <xf numFmtId="188" fontId="3" fillId="0" borderId="0" xfId="40" applyNumberFormat="1" applyFont="1" applyBorder="1" applyAlignment="1">
      <alignment horizontal="center"/>
    </xf>
    <xf numFmtId="9" fontId="3" fillId="0" borderId="0" xfId="40" applyFont="1" applyBorder="1" applyAlignment="1">
      <alignment horizontal="center"/>
    </xf>
    <xf numFmtId="0" fontId="3" fillId="0" borderId="15" xfId="0" applyFont="1" applyBorder="1" applyAlignment="1">
      <alignment horizontal="center" vertical="top" wrapText="1"/>
    </xf>
    <xf numFmtId="0" fontId="63" fillId="0" borderId="0" xfId="0" applyFont="1" applyBorder="1" applyAlignment="1">
      <alignment horizontal="left"/>
    </xf>
    <xf numFmtId="0" fontId="3" fillId="0" borderId="0" xfId="0" applyFont="1" applyBorder="1" applyAlignment="1">
      <alignment horizontal="left"/>
    </xf>
    <xf numFmtId="0" fontId="3" fillId="0" borderId="0" xfId="0" applyFont="1" applyBorder="1" applyAlignment="1">
      <alignment horizontal="left" vertical="center"/>
    </xf>
    <xf numFmtId="0" fontId="3" fillId="0" borderId="13" xfId="0" applyFont="1" applyBorder="1" applyAlignment="1">
      <alignment/>
    </xf>
    <xf numFmtId="0" fontId="3" fillId="0" borderId="14" xfId="0" applyFont="1" applyBorder="1" applyAlignment="1">
      <alignment horizontal="center" vertical="center" wrapText="1"/>
    </xf>
    <xf numFmtId="0" fontId="3" fillId="0" borderId="10" xfId="0" applyFont="1" applyBorder="1" applyAlignment="1">
      <alignment horizontal="center" vertical="center" wrapText="1"/>
    </xf>
    <xf numFmtId="10" fontId="3" fillId="0" borderId="10" xfId="40" applyNumberFormat="1" applyFont="1" applyFill="1" applyBorder="1" applyAlignment="1">
      <alignment horizontal="center"/>
    </xf>
    <xf numFmtId="0" fontId="3" fillId="0" borderId="0" xfId="0" applyFont="1" applyFill="1" applyAlignment="1">
      <alignment/>
    </xf>
    <xf numFmtId="0" fontId="3" fillId="0" borderId="10" xfId="0" applyFont="1" applyFill="1" applyBorder="1" applyAlignment="1">
      <alignment horizontal="center" vertical="center"/>
    </xf>
    <xf numFmtId="0" fontId="6" fillId="0" borderId="14" xfId="0" applyFont="1" applyBorder="1" applyAlignment="1">
      <alignment horizontal="center" vertical="top" wrapText="1"/>
    </xf>
    <xf numFmtId="49" fontId="3" fillId="0" borderId="10" xfId="0" applyNumberFormat="1" applyFont="1" applyBorder="1" applyAlignment="1">
      <alignment horizontal="center" vertical="center" wrapText="1"/>
    </xf>
    <xf numFmtId="2" fontId="3" fillId="0" borderId="10" xfId="0" applyNumberFormat="1" applyFont="1" applyFill="1" applyBorder="1" applyAlignment="1">
      <alignment horizontal="center"/>
    </xf>
    <xf numFmtId="4" fontId="6" fillId="0" borderId="13" xfId="0" applyNumberFormat="1" applyFont="1" applyBorder="1" applyAlignment="1" applyProtection="1">
      <alignment horizontal="left" vertical="center"/>
      <protection hidden="1"/>
    </xf>
    <xf numFmtId="0" fontId="64" fillId="0" borderId="0" xfId="0" applyFont="1" applyAlignment="1">
      <alignment/>
    </xf>
    <xf numFmtId="4" fontId="3" fillId="0" borderId="13" xfId="0" applyNumberFormat="1" applyFont="1" applyBorder="1" applyAlignment="1" applyProtection="1">
      <alignment horizontal="left" vertical="center"/>
      <protection locked="0"/>
    </xf>
    <xf numFmtId="0" fontId="62" fillId="0" borderId="0" xfId="0" applyFont="1" applyAlignment="1">
      <alignment horizontal="left"/>
    </xf>
    <xf numFmtId="4" fontId="3" fillId="0" borderId="10" xfId="0" applyNumberFormat="1" applyFont="1" applyBorder="1" applyAlignment="1">
      <alignment horizontal="center" vertical="center"/>
    </xf>
    <xf numFmtId="190" fontId="3" fillId="0" borderId="13" xfId="40" applyNumberFormat="1" applyFont="1" applyBorder="1" applyAlignment="1">
      <alignment horizontal="center"/>
    </xf>
    <xf numFmtId="0" fontId="65" fillId="0" borderId="0" xfId="0" applyFont="1" applyAlignment="1">
      <alignment/>
    </xf>
    <xf numFmtId="0" fontId="66" fillId="0" borderId="0" xfId="0" applyFont="1" applyAlignment="1">
      <alignment/>
    </xf>
    <xf numFmtId="187" fontId="65" fillId="0" borderId="0" xfId="0" applyNumberFormat="1" applyFont="1" applyBorder="1" applyAlignment="1">
      <alignment horizontal="right"/>
    </xf>
    <xf numFmtId="0" fontId="65" fillId="0" borderId="0" xfId="0" applyFont="1" applyBorder="1" applyAlignment="1">
      <alignment/>
    </xf>
    <xf numFmtId="0" fontId="65" fillId="0" borderId="0" xfId="0" applyFont="1" applyBorder="1" applyAlignment="1">
      <alignment horizontal="center" vertical="top" wrapText="1"/>
    </xf>
    <xf numFmtId="49" fontId="65" fillId="0" borderId="11" xfId="0" applyNumberFormat="1" applyFont="1" applyBorder="1" applyAlignment="1">
      <alignment horizontal="center"/>
    </xf>
    <xf numFmtId="49" fontId="65" fillId="0" borderId="12" xfId="0" applyNumberFormat="1" applyFont="1" applyBorder="1" applyAlignment="1">
      <alignment horizontal="center"/>
    </xf>
    <xf numFmtId="4" fontId="65" fillId="0" borderId="0" xfId="0" applyNumberFormat="1" applyFont="1" applyAlignment="1">
      <alignment vertical="center"/>
    </xf>
    <xf numFmtId="0" fontId="65" fillId="0" borderId="0" xfId="0" applyFont="1" applyAlignment="1">
      <alignment vertical="center"/>
    </xf>
    <xf numFmtId="4" fontId="67" fillId="0" borderId="0" xfId="0" applyNumberFormat="1" applyFont="1" applyFill="1" applyAlignment="1">
      <alignment/>
    </xf>
    <xf numFmtId="0" fontId="65" fillId="0" borderId="0" xfId="0" applyFont="1" applyFill="1" applyAlignment="1">
      <alignment/>
    </xf>
    <xf numFmtId="187" fontId="60" fillId="0" borderId="0" xfId="0" applyNumberFormat="1" applyFont="1" applyBorder="1" applyAlignment="1">
      <alignment horizontal="right"/>
    </xf>
    <xf numFmtId="0" fontId="60" fillId="0" borderId="0" xfId="0" applyFont="1" applyBorder="1" applyAlignment="1">
      <alignment/>
    </xf>
    <xf numFmtId="0" fontId="60" fillId="0" borderId="0" xfId="0" applyFont="1" applyBorder="1" applyAlignment="1">
      <alignment horizontal="center" vertical="top" wrapText="1"/>
    </xf>
    <xf numFmtId="4" fontId="60" fillId="0" borderId="0" xfId="0" applyNumberFormat="1" applyFont="1" applyAlignment="1">
      <alignment vertical="center"/>
    </xf>
    <xf numFmtId="4" fontId="60" fillId="0" borderId="0" xfId="0" applyNumberFormat="1" applyFont="1" applyFill="1" applyAlignment="1">
      <alignment/>
    </xf>
    <xf numFmtId="4" fontId="3" fillId="0" borderId="10" xfId="0" applyNumberFormat="1" applyFont="1" applyBorder="1" applyAlignment="1">
      <alignment horizontal="center"/>
    </xf>
    <xf numFmtId="4" fontId="9" fillId="0" borderId="0" xfId="0" applyNumberFormat="1" applyFont="1" applyAlignment="1">
      <alignment/>
    </xf>
    <xf numFmtId="4" fontId="4" fillId="0" borderId="0" xfId="0" applyNumberFormat="1" applyFont="1" applyAlignment="1">
      <alignment/>
    </xf>
    <xf numFmtId="4" fontId="3" fillId="0" borderId="10" xfId="0" applyNumberFormat="1" applyFont="1" applyFill="1" applyBorder="1" applyAlignment="1">
      <alignment horizontal="center" vertical="center"/>
    </xf>
    <xf numFmtId="14" fontId="3" fillId="0" borderId="10" xfId="0" applyNumberFormat="1" applyFont="1" applyFill="1" applyBorder="1" applyAlignment="1">
      <alignment horizontal="center" vertical="center"/>
    </xf>
    <xf numFmtId="2" fontId="3" fillId="0" borderId="10" xfId="0" applyNumberFormat="1" applyFont="1" applyFill="1" applyBorder="1" applyAlignment="1">
      <alignment horizontal="center"/>
    </xf>
    <xf numFmtId="4" fontId="60" fillId="0" borderId="0" xfId="0" applyNumberFormat="1" applyFont="1" applyFill="1" applyAlignment="1">
      <alignment/>
    </xf>
    <xf numFmtId="4" fontId="65" fillId="0" borderId="0" xfId="0" applyNumberFormat="1" applyFont="1" applyFill="1" applyAlignment="1">
      <alignment/>
    </xf>
    <xf numFmtId="0" fontId="65" fillId="0" borderId="0" xfId="0" applyFont="1" applyFill="1" applyAlignment="1">
      <alignment/>
    </xf>
    <xf numFmtId="0" fontId="3" fillId="0" borderId="0" xfId="0" applyFont="1" applyFill="1" applyAlignment="1">
      <alignment/>
    </xf>
    <xf numFmtId="0" fontId="3" fillId="0" borderId="0" xfId="0" applyFont="1" applyAlignment="1">
      <alignment horizontal="left" vertical="top" wrapText="1"/>
    </xf>
    <xf numFmtId="4" fontId="10" fillId="34" borderId="16" xfId="0" applyNumberFormat="1" applyFont="1" applyFill="1" applyBorder="1" applyAlignment="1" applyProtection="1">
      <alignment/>
      <protection hidden="1"/>
    </xf>
    <xf numFmtId="0" fontId="8" fillId="0" borderId="0" xfId="0" applyFont="1" applyAlignment="1">
      <alignment horizontal="left" wrapText="1"/>
    </xf>
    <xf numFmtId="14" fontId="11" fillId="0" borderId="10" xfId="0" applyNumberFormat="1" applyFont="1" applyFill="1" applyBorder="1" applyAlignment="1" applyProtection="1">
      <alignment horizontal="center" vertical="center"/>
      <protection hidden="1"/>
    </xf>
    <xf numFmtId="4" fontId="11" fillId="0" borderId="10" xfId="0" applyNumberFormat="1" applyFont="1" applyFill="1" applyBorder="1" applyAlignment="1" applyProtection="1">
      <alignment horizontal="center" vertical="center"/>
      <protection hidden="1"/>
    </xf>
    <xf numFmtId="10" fontId="11" fillId="0" borderId="10" xfId="59" applyNumberFormat="1" applyFont="1" applyFill="1" applyBorder="1" applyAlignment="1" applyProtection="1">
      <alignment horizontal="center"/>
      <protection hidden="1"/>
    </xf>
    <xf numFmtId="4" fontId="11" fillId="0" borderId="10" xfId="0" applyNumberFormat="1" applyFont="1" applyFill="1" applyBorder="1" applyAlignment="1" applyProtection="1">
      <alignment horizontal="center"/>
      <protection hidden="1"/>
    </xf>
    <xf numFmtId="185" fontId="11" fillId="0" borderId="10" xfId="63" applyFont="1" applyFill="1" applyBorder="1" applyAlignment="1" applyProtection="1">
      <alignment horizontal="center"/>
      <protection hidden="1"/>
    </xf>
    <xf numFmtId="4" fontId="10" fillId="33" borderId="13" xfId="0" applyNumberFormat="1" applyFont="1" applyFill="1" applyBorder="1" applyAlignment="1" applyProtection="1">
      <alignment/>
      <protection hidden="1"/>
    </xf>
    <xf numFmtId="0" fontId="10" fillId="33" borderId="0" xfId="0" applyFont="1" applyFill="1" applyAlignment="1" applyProtection="1">
      <alignment/>
      <protection hidden="1"/>
    </xf>
    <xf numFmtId="10" fontId="10" fillId="34" borderId="16" xfId="0" applyNumberFormat="1" applyFont="1" applyFill="1" applyBorder="1" applyAlignment="1" applyProtection="1">
      <alignment/>
      <protection hidden="1"/>
    </xf>
    <xf numFmtId="0" fontId="12" fillId="0" borderId="17" xfId="0" applyFont="1" applyBorder="1" applyAlignment="1">
      <alignment/>
    </xf>
    <xf numFmtId="0" fontId="13" fillId="0" borderId="18" xfId="0" applyFont="1" applyBorder="1" applyAlignment="1">
      <alignment/>
    </xf>
    <xf numFmtId="4" fontId="13" fillId="0" borderId="18" xfId="0" applyNumberFormat="1" applyFont="1" applyBorder="1" applyAlignment="1">
      <alignment horizontal="left"/>
    </xf>
    <xf numFmtId="14" fontId="68" fillId="0" borderId="19" xfId="0" applyNumberFormat="1" applyFont="1" applyBorder="1" applyAlignment="1">
      <alignment/>
    </xf>
    <xf numFmtId="0" fontId="13" fillId="0" borderId="20" xfId="0" applyFont="1" applyBorder="1" applyAlignment="1">
      <alignment/>
    </xf>
    <xf numFmtId="0" fontId="13" fillId="0" borderId="0" xfId="0" applyFont="1" applyBorder="1" applyAlignment="1">
      <alignment/>
    </xf>
    <xf numFmtId="4" fontId="13" fillId="0" borderId="0" xfId="0" applyNumberFormat="1" applyFont="1" applyBorder="1" applyAlignment="1">
      <alignment horizontal="left"/>
    </xf>
    <xf numFmtId="0" fontId="68" fillId="0" borderId="21" xfId="0" applyFont="1" applyBorder="1" applyAlignment="1">
      <alignment/>
    </xf>
    <xf numFmtId="10" fontId="10" fillId="0" borderId="16" xfId="0" applyNumberFormat="1" applyFont="1" applyFill="1" applyBorder="1" applyAlignment="1" applyProtection="1">
      <alignment/>
      <protection hidden="1"/>
    </xf>
    <xf numFmtId="0" fontId="10" fillId="33" borderId="13" xfId="54" applyFont="1" applyFill="1" applyBorder="1" applyAlignment="1">
      <alignment horizontal="left" vertical="center" wrapText="1"/>
      <protection/>
    </xf>
    <xf numFmtId="0" fontId="10" fillId="33" borderId="22" xfId="54" applyFont="1" applyFill="1" applyBorder="1" applyAlignment="1">
      <alignment horizontal="left" vertical="center" wrapText="1"/>
      <protection/>
    </xf>
    <xf numFmtId="0" fontId="0" fillId="33" borderId="13" xfId="0" applyFont="1" applyFill="1" applyBorder="1" applyAlignment="1">
      <alignment horizontal="left"/>
    </xf>
    <xf numFmtId="0" fontId="10" fillId="0" borderId="23" xfId="54" applyFont="1" applyFill="1" applyBorder="1" applyAlignment="1" applyProtection="1">
      <alignment horizontal="left" vertical="center" wrapText="1"/>
      <protection hidden="1"/>
    </xf>
    <xf numFmtId="0" fontId="10" fillId="0" borderId="24" xfId="54" applyFont="1" applyFill="1" applyBorder="1" applyAlignment="1" applyProtection="1">
      <alignment horizontal="left" vertical="center" wrapText="1"/>
      <protection hidden="1"/>
    </xf>
    <xf numFmtId="0" fontId="10" fillId="0" borderId="25" xfId="54" applyFont="1" applyFill="1" applyBorder="1" applyAlignment="1" applyProtection="1">
      <alignment horizontal="left" vertical="center" wrapText="1"/>
      <protection hidden="1"/>
    </xf>
    <xf numFmtId="49" fontId="3" fillId="0" borderId="11" xfId="0" applyNumberFormat="1" applyFont="1" applyBorder="1" applyAlignment="1">
      <alignment horizontal="center" vertical="center"/>
    </xf>
    <xf numFmtId="49" fontId="3" fillId="0" borderId="12" xfId="0" applyNumberFormat="1" applyFont="1" applyBorder="1" applyAlignment="1">
      <alignment horizontal="center" vertical="center"/>
    </xf>
    <xf numFmtId="49" fontId="3" fillId="0" borderId="11" xfId="0" applyNumberFormat="1" applyFont="1" applyFill="1" applyBorder="1" applyAlignment="1">
      <alignment horizontal="center" vertical="center"/>
    </xf>
    <xf numFmtId="49" fontId="3" fillId="0" borderId="12" xfId="0" applyNumberFormat="1" applyFont="1" applyFill="1" applyBorder="1" applyAlignment="1">
      <alignment horizontal="center" vertical="center"/>
    </xf>
    <xf numFmtId="49" fontId="3" fillId="0" borderId="26" xfId="0" applyNumberFormat="1" applyFont="1" applyBorder="1" applyAlignment="1">
      <alignment horizontal="center" vertical="center"/>
    </xf>
    <xf numFmtId="49" fontId="3" fillId="0" borderId="27" xfId="0" applyNumberFormat="1" applyFont="1" applyBorder="1" applyAlignment="1">
      <alignment horizontal="center" vertical="center"/>
    </xf>
    <xf numFmtId="0" fontId="3" fillId="0" borderId="11" xfId="0" applyFont="1" applyFill="1" applyBorder="1" applyAlignment="1">
      <alignment horizontal="center" vertical="top" wrapText="1"/>
    </xf>
    <xf numFmtId="0" fontId="3" fillId="0" borderId="28" xfId="0" applyFont="1" applyFill="1" applyBorder="1" applyAlignment="1">
      <alignment horizontal="center" vertical="top" wrapText="1"/>
    </xf>
    <xf numFmtId="0" fontId="3" fillId="0" borderId="12" xfId="0" applyFont="1" applyFill="1" applyBorder="1" applyAlignment="1">
      <alignment horizontal="center" vertical="top" wrapText="1"/>
    </xf>
    <xf numFmtId="0" fontId="3" fillId="0" borderId="15" xfId="0" applyFont="1" applyBorder="1" applyAlignment="1">
      <alignment horizontal="center" vertical="center"/>
    </xf>
    <xf numFmtId="0" fontId="3" fillId="0" borderId="29" xfId="0" applyFont="1" applyBorder="1" applyAlignment="1">
      <alignment horizontal="center" vertical="center"/>
    </xf>
    <xf numFmtId="0" fontId="64" fillId="0" borderId="0" xfId="0" applyFont="1" applyAlignment="1">
      <alignment horizontal="left"/>
    </xf>
    <xf numFmtId="0" fontId="6" fillId="0" borderId="0" xfId="0" applyFont="1" applyAlignment="1">
      <alignment horizontal="left"/>
    </xf>
    <xf numFmtId="0" fontId="3" fillId="0" borderId="0" xfId="0" applyFont="1" applyAlignment="1">
      <alignment horizontal="left"/>
    </xf>
    <xf numFmtId="0" fontId="3" fillId="0" borderId="11" xfId="0" applyFont="1" applyBorder="1" applyAlignment="1">
      <alignment horizontal="center" vertical="top" wrapText="1"/>
    </xf>
    <xf numFmtId="0" fontId="3" fillId="0" borderId="28" xfId="0" applyFont="1" applyBorder="1" applyAlignment="1">
      <alignment horizontal="center" vertical="top" wrapText="1"/>
    </xf>
    <xf numFmtId="0" fontId="3" fillId="0" borderId="12" xfId="0" applyFont="1" applyBorder="1" applyAlignment="1">
      <alignment horizontal="center" vertical="top" wrapText="1"/>
    </xf>
    <xf numFmtId="0" fontId="3" fillId="0" borderId="11" xfId="0" applyFont="1" applyBorder="1" applyAlignment="1">
      <alignment horizontal="center" vertical="center" wrapText="1"/>
    </xf>
    <xf numFmtId="0" fontId="3" fillId="0" borderId="28" xfId="0" applyFont="1" applyBorder="1" applyAlignment="1">
      <alignment horizontal="center" vertical="center" wrapText="1"/>
    </xf>
    <xf numFmtId="0" fontId="3" fillId="0" borderId="12" xfId="0" applyFont="1" applyBorder="1" applyAlignment="1">
      <alignment horizontal="center" vertical="center" wrapText="1"/>
    </xf>
    <xf numFmtId="0" fontId="3" fillId="0" borderId="26" xfId="0" applyFont="1" applyBorder="1" applyAlignment="1">
      <alignment horizontal="center" vertical="center"/>
    </xf>
    <xf numFmtId="0" fontId="3" fillId="0" borderId="30" xfId="0" applyFont="1" applyBorder="1" applyAlignment="1">
      <alignment horizontal="center" vertical="center"/>
    </xf>
    <xf numFmtId="0" fontId="40" fillId="0" borderId="0" xfId="0" applyFont="1" applyAlignment="1">
      <alignment horizontal="left" vertical="top" wrapText="1"/>
    </xf>
    <xf numFmtId="0" fontId="3" fillId="0" borderId="0" xfId="0" applyFont="1" applyAlignment="1">
      <alignment horizontal="left" vertical="center"/>
    </xf>
    <xf numFmtId="0" fontId="7" fillId="0" borderId="0" xfId="0" applyFont="1" applyBorder="1" applyAlignment="1">
      <alignment horizontal="center" wrapText="1"/>
    </xf>
    <xf numFmtId="0" fontId="69" fillId="0" borderId="0" xfId="0" applyFont="1" applyAlignment="1">
      <alignment horizontal="center"/>
    </xf>
    <xf numFmtId="0" fontId="13" fillId="0" borderId="31" xfId="0" applyFont="1" applyBorder="1" applyAlignment="1">
      <alignment horizontal="left" wrapText="1"/>
    </xf>
    <xf numFmtId="0" fontId="13" fillId="0" borderId="32" xfId="0" applyFont="1" applyBorder="1" applyAlignment="1">
      <alignment horizontal="left" wrapText="1"/>
    </xf>
    <xf numFmtId="0" fontId="13" fillId="0" borderId="16" xfId="0" applyFont="1" applyBorder="1" applyAlignment="1">
      <alignment horizontal="left" wrapText="1"/>
    </xf>
    <xf numFmtId="0" fontId="62" fillId="0" borderId="0" xfId="0" applyFont="1" applyAlignment="1">
      <alignment horizontal="left"/>
    </xf>
    <xf numFmtId="0" fontId="6" fillId="0" borderId="15" xfId="0" applyFont="1" applyBorder="1" applyAlignment="1">
      <alignment horizontal="center" vertical="center" wrapText="1"/>
    </xf>
    <xf numFmtId="0" fontId="6" fillId="0" borderId="29" xfId="0" applyFont="1" applyBorder="1" applyAlignment="1">
      <alignment horizontal="center" vertical="center" wrapText="1"/>
    </xf>
    <xf numFmtId="0" fontId="5" fillId="0" borderId="0" xfId="0" applyFont="1" applyAlignment="1" applyProtection="1">
      <alignment horizontal="center" vertical="center" wrapText="1"/>
      <protection hidden="1"/>
    </xf>
    <xf numFmtId="0" fontId="3" fillId="0" borderId="0" xfId="0" applyFont="1" applyAlignment="1">
      <alignment wrapText="1"/>
    </xf>
    <xf numFmtId="0" fontId="3" fillId="0" borderId="21" xfId="0" applyFont="1" applyBorder="1" applyAlignment="1">
      <alignment wrapText="1"/>
    </xf>
    <xf numFmtId="0" fontId="3" fillId="0" borderId="0" xfId="0" applyFont="1" applyAlignment="1">
      <alignment horizontal="left" vertical="top" wrapText="1"/>
    </xf>
    <xf numFmtId="0" fontId="3" fillId="0" borderId="0" xfId="0" applyFont="1" applyAlignment="1">
      <alignment horizontal="left" vertical="top" wrapText="1"/>
    </xf>
  </cellXfs>
  <cellStyles count="51">
    <cellStyle name="Normal" xfId="0"/>
    <cellStyle name="20% – Акцентування1" xfId="15"/>
    <cellStyle name="20% – Акцентування2" xfId="16"/>
    <cellStyle name="20% – Акцентування3" xfId="17"/>
    <cellStyle name="20% – Акцентування4" xfId="18"/>
    <cellStyle name="20% – Акцентування5" xfId="19"/>
    <cellStyle name="20% – Акцентування6" xfId="20"/>
    <cellStyle name="40% – Акцентування1" xfId="21"/>
    <cellStyle name="40% – Акцентування2" xfId="22"/>
    <cellStyle name="40% – Акцентування3" xfId="23"/>
    <cellStyle name="40% – Акцентування4" xfId="24"/>
    <cellStyle name="40% – Акцентування5" xfId="25"/>
    <cellStyle name="40% – Акцентування6" xfId="26"/>
    <cellStyle name="60% – Акцентування1" xfId="27"/>
    <cellStyle name="60% – Акцентування2" xfId="28"/>
    <cellStyle name="60% – Акцентування3" xfId="29"/>
    <cellStyle name="60% – Акцентування4" xfId="30"/>
    <cellStyle name="60% – Акцентування5" xfId="31"/>
    <cellStyle name="60% – Акцентування6" xfId="32"/>
    <cellStyle name="Акцентування1" xfId="33"/>
    <cellStyle name="Акцентування2" xfId="34"/>
    <cellStyle name="Акцентування3" xfId="35"/>
    <cellStyle name="Акцентування4" xfId="36"/>
    <cellStyle name="Акцентування5" xfId="37"/>
    <cellStyle name="Акцентування6" xfId="38"/>
    <cellStyle name="Ввід" xfId="39"/>
    <cellStyle name="Percent" xfId="40"/>
    <cellStyle name="Гарний"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Зв'язана клітинка" xfId="49"/>
    <cellStyle name="Контрольна клітинка" xfId="50"/>
    <cellStyle name="Назва" xfId="51"/>
    <cellStyle name="Нейтральний" xfId="52"/>
    <cellStyle name="Обчислення" xfId="53"/>
    <cellStyle name="Обычный 2" xfId="54"/>
    <cellStyle name="Followed Hyperlink" xfId="55"/>
    <cellStyle name="Підсумок" xfId="56"/>
    <cellStyle name="Поганий" xfId="57"/>
    <cellStyle name="Примітка" xfId="58"/>
    <cellStyle name="Процентный 2" xfId="59"/>
    <cellStyle name="Результат" xfId="60"/>
    <cellStyle name="Текст попередження" xfId="61"/>
    <cellStyle name="Текст пояснення" xfId="62"/>
    <cellStyle name="Comma" xfId="63"/>
    <cellStyle name="Comma [0]" xfId="64"/>
  </cellStyles>
  <dxfs count="2">
    <dxf>
      <font>
        <color theme="0"/>
      </font>
    </dxf>
    <dxf>
      <font>
        <color theme="0"/>
      </fon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w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657225</xdr:colOff>
      <xdr:row>1</xdr:row>
      <xdr:rowOff>171450</xdr:rowOff>
    </xdr:from>
    <xdr:to>
      <xdr:col>4</xdr:col>
      <xdr:colOff>219075</xdr:colOff>
      <xdr:row>5</xdr:row>
      <xdr:rowOff>123825</xdr:rowOff>
    </xdr:to>
    <xdr:pic>
      <xdr:nvPicPr>
        <xdr:cNvPr id="1" name="Picture 1" descr="mark_UGB"/>
        <xdr:cNvPicPr preferRelativeResize="1">
          <a:picLocks noChangeAspect="1"/>
        </xdr:cNvPicPr>
      </xdr:nvPicPr>
      <xdr:blipFill>
        <a:blip r:embed="rId1"/>
        <a:stretch>
          <a:fillRect/>
        </a:stretch>
      </xdr:blipFill>
      <xdr:spPr>
        <a:xfrm>
          <a:off x="657225" y="666750"/>
          <a:ext cx="3238500" cy="733425"/>
        </a:xfrm>
        <a:prstGeom prst="rect">
          <a:avLst/>
        </a:prstGeom>
        <a:solidFill>
          <a:srgbClr val="99CCFF"/>
        </a:solidFill>
        <a:ln w="9525" cmpd="sng">
          <a:solidFill>
            <a:srgbClr val="3366FF"/>
          </a:solidFill>
          <a:headEnd type="none"/>
          <a:tailEnd type="none"/>
        </a:ln>
      </xdr:spPr>
    </xdr:pic>
    <xdr:clientData/>
  </xdr:twoCellAnchor>
</xdr:wsDr>
</file>

<file path=xl/theme/theme1.xml><?xml version="1.0" encoding="utf-8"?>
<a:theme xmlns:a="http://schemas.openxmlformats.org/drawingml/2006/main" name="Office Them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Лист3">
    <pageSetUpPr fitToPage="1"/>
  </sheetPr>
  <dimension ref="A1:X63"/>
  <sheetViews>
    <sheetView showGridLines="0" tabSelected="1" zoomScaleSheetLayoutView="97" workbookViewId="0" topLeftCell="A31">
      <selection activeCell="I48" sqref="I48"/>
    </sheetView>
  </sheetViews>
  <sheetFormatPr defaultColWidth="9.125" defaultRowHeight="12.75"/>
  <cols>
    <col min="1" max="1" width="9.125" style="3" customWidth="1"/>
    <col min="2" max="3" width="12.375" style="3" customWidth="1"/>
    <col min="4" max="4" width="14.375" style="3" customWidth="1"/>
    <col min="5" max="5" width="12.125" style="3" customWidth="1"/>
    <col min="6" max="6" width="11.875" style="1" customWidth="1"/>
    <col min="7" max="7" width="15.875" style="1" customWidth="1"/>
    <col min="8" max="8" width="11.50390625" style="1" customWidth="1"/>
    <col min="9" max="9" width="15.00390625" style="1" customWidth="1"/>
    <col min="10" max="10" width="19.375" style="3" customWidth="1"/>
    <col min="11" max="11" width="12.625" style="3" customWidth="1"/>
    <col min="12" max="12" width="15.50390625" style="3" customWidth="1"/>
    <col min="13" max="13" width="10.875" style="3" customWidth="1"/>
    <col min="14" max="14" width="11.00390625" style="3" customWidth="1"/>
    <col min="15" max="15" width="12.00390625" style="3" customWidth="1"/>
    <col min="16" max="16" width="11.625" style="3" customWidth="1"/>
    <col min="17" max="17" width="28.00390625" style="3" customWidth="1"/>
    <col min="18" max="18" width="16.00390625" style="63" customWidth="1"/>
    <col min="19" max="19" width="11.875" style="18" hidden="1" customWidth="1"/>
    <col min="20" max="20" width="1.875" style="63" hidden="1" customWidth="1"/>
    <col min="21" max="21" width="0" style="63" hidden="1" customWidth="1"/>
    <col min="22" max="23" width="9.125" style="63" customWidth="1"/>
    <col min="24" max="16384" width="9.125" style="3" customWidth="1"/>
  </cols>
  <sheetData>
    <row r="1" spans="2:23" s="18" customFormat="1" ht="39" customHeight="1">
      <c r="B1" s="140"/>
      <c r="C1" s="140"/>
      <c r="D1" s="140"/>
      <c r="E1" s="140"/>
      <c r="F1" s="140"/>
      <c r="G1" s="140"/>
      <c r="H1" s="140"/>
      <c r="I1" s="140"/>
      <c r="J1" s="140"/>
      <c r="K1" s="140"/>
      <c r="L1" s="140"/>
      <c r="M1" s="140"/>
      <c r="N1" s="140"/>
      <c r="O1" s="140"/>
      <c r="P1" s="140"/>
      <c r="Q1" s="137"/>
      <c r="R1" s="137"/>
      <c r="S1" s="137"/>
      <c r="T1" s="63"/>
      <c r="U1" s="63"/>
      <c r="V1" s="63"/>
      <c r="W1" s="63"/>
    </row>
    <row r="2" spans="2:23" s="18" customFormat="1" ht="16.5" customHeight="1">
      <c r="B2" s="18">
        <v>1</v>
      </c>
      <c r="D2" s="18">
        <v>1</v>
      </c>
      <c r="E2" s="18">
        <v>2</v>
      </c>
      <c r="F2" s="31">
        <v>1</v>
      </c>
      <c r="G2" s="31"/>
      <c r="H2" s="31"/>
      <c r="I2" s="31">
        <v>2</v>
      </c>
      <c r="J2" s="18">
        <v>1</v>
      </c>
      <c r="O2" s="35"/>
      <c r="P2" s="35"/>
      <c r="R2" s="64"/>
      <c r="T2" s="63"/>
      <c r="U2" s="63"/>
      <c r="V2" s="63"/>
      <c r="W2" s="63"/>
    </row>
    <row r="3" spans="2:23" s="18" customFormat="1" ht="22.5" customHeight="1">
      <c r="B3" s="18" t="str">
        <f>"Домовичок"</f>
        <v>Домовичок</v>
      </c>
      <c r="D3" s="18" t="str">
        <f>"гривня"</f>
        <v>гривня</v>
      </c>
      <c r="E3" s="18" t="str">
        <f>"Торговий POS-термінал"</f>
        <v>Торговий POS-термінал</v>
      </c>
      <c r="F3" s="147" t="s">
        <v>59</v>
      </c>
      <c r="G3" s="147"/>
      <c r="H3" s="147"/>
      <c r="I3" s="147"/>
      <c r="J3" s="147"/>
      <c r="K3" s="147"/>
      <c r="L3" s="147"/>
      <c r="M3" s="147"/>
      <c r="R3" s="64"/>
      <c r="T3" s="63"/>
      <c r="U3" s="63"/>
      <c r="V3" s="63"/>
      <c r="W3" s="63"/>
    </row>
    <row r="4" spans="2:23" s="18" customFormat="1" ht="10.5" customHeight="1">
      <c r="B4" s="18" t="s">
        <v>46</v>
      </c>
      <c r="D4" s="18" t="str">
        <f>IF($B$2=3,"долар США","---")</f>
        <v>---</v>
      </c>
      <c r="E4" s="18" t="str">
        <f>"Банкомат АБ «Укргазбанк»"</f>
        <v>Банкомат АБ «Укргазбанк»</v>
      </c>
      <c r="F4" s="147"/>
      <c r="G4" s="147"/>
      <c r="H4" s="147"/>
      <c r="I4" s="147"/>
      <c r="J4" s="147"/>
      <c r="K4" s="147"/>
      <c r="L4" s="147"/>
      <c r="M4" s="147"/>
      <c r="O4" s="58"/>
      <c r="P4" s="35"/>
      <c r="R4" s="63"/>
      <c r="T4" s="63"/>
      <c r="U4" s="63"/>
      <c r="V4" s="63"/>
      <c r="W4" s="63"/>
    </row>
    <row r="5" spans="2:23" s="18" customFormat="1" ht="12">
      <c r="B5" s="18" t="s">
        <v>53</v>
      </c>
      <c r="D5" s="18" t="str">
        <f>IF($B$2=3,"євро","---")</f>
        <v>---</v>
      </c>
      <c r="F5" s="147"/>
      <c r="G5" s="147"/>
      <c r="H5" s="147"/>
      <c r="I5" s="147"/>
      <c r="J5" s="147"/>
      <c r="K5" s="147"/>
      <c r="L5" s="147"/>
      <c r="M5" s="147"/>
      <c r="O5" s="126"/>
      <c r="P5" s="126"/>
      <c r="Q5" s="126"/>
      <c r="R5" s="126"/>
      <c r="T5" s="63"/>
      <c r="U5" s="63"/>
      <c r="V5" s="63"/>
      <c r="W5" s="63"/>
    </row>
    <row r="6" spans="2:23" s="18" customFormat="1" ht="12">
      <c r="B6" s="18" t="str">
        <f>"Овердрафт «Кредитна картка»"</f>
        <v>Овердрафт «Кредитна картка»</v>
      </c>
      <c r="F6" s="147"/>
      <c r="G6" s="147"/>
      <c r="H6" s="147"/>
      <c r="I6" s="147"/>
      <c r="J6" s="147"/>
      <c r="K6" s="147"/>
      <c r="L6" s="147"/>
      <c r="M6" s="147"/>
      <c r="O6" s="126"/>
      <c r="P6" s="126"/>
      <c r="Q6" s="126"/>
      <c r="R6" s="126"/>
      <c r="T6" s="63"/>
      <c r="U6" s="63"/>
      <c r="V6" s="63"/>
      <c r="W6" s="63"/>
    </row>
    <row r="7" spans="2:23" s="18" customFormat="1" ht="19.5" customHeight="1">
      <c r="B7" s="18" t="str">
        <f>"Програма новий клієнт"</f>
        <v>Програма новий клієнт</v>
      </c>
      <c r="F7" s="147"/>
      <c r="G7" s="147"/>
      <c r="H7" s="147"/>
      <c r="I7" s="147"/>
      <c r="J7" s="147"/>
      <c r="K7" s="147"/>
      <c r="L7" s="147"/>
      <c r="M7" s="147"/>
      <c r="O7" s="144"/>
      <c r="P7" s="144"/>
      <c r="Q7" s="60"/>
      <c r="R7" s="63"/>
      <c r="T7" s="63"/>
      <c r="U7" s="63"/>
      <c r="V7" s="63"/>
      <c r="W7" s="63"/>
    </row>
    <row r="8" spans="2:23" s="18" customFormat="1" ht="6" customHeight="1">
      <c r="B8" s="18" t="str">
        <f>"Овердрафт під депозит"</f>
        <v>Овердрафт під депозит</v>
      </c>
      <c r="F8" s="31"/>
      <c r="G8" s="31"/>
      <c r="H8" s="31"/>
      <c r="I8" s="31"/>
      <c r="O8" s="144"/>
      <c r="P8" s="144"/>
      <c r="Q8" s="60"/>
      <c r="R8" s="63"/>
      <c r="T8" s="63"/>
      <c r="U8" s="63"/>
      <c r="V8" s="63"/>
      <c r="W8" s="63"/>
    </row>
    <row r="9" spans="2:23" s="18" customFormat="1" ht="6" customHeight="1">
      <c r="B9" s="18" t="str">
        <f>"Овердрафт «Додаткова пенсія»"</f>
        <v>Овердрафт «Додаткова пенсія»</v>
      </c>
      <c r="F9" s="31"/>
      <c r="G9" s="31"/>
      <c r="H9" s="31"/>
      <c r="I9" s="31"/>
      <c r="O9" s="144"/>
      <c r="P9" s="144"/>
      <c r="Q9" s="60"/>
      <c r="R9" s="63"/>
      <c r="T9" s="63"/>
      <c r="U9" s="63"/>
      <c r="V9" s="63"/>
      <c r="W9" s="63"/>
    </row>
    <row r="10" spans="2:21" ht="9.75">
      <c r="B10" s="15" t="str">
        <f>"Параметри кредитної програми"</f>
        <v>Параметри кредитної програми</v>
      </c>
      <c r="C10" s="15"/>
      <c r="K10" s="5"/>
      <c r="L10" s="5"/>
      <c r="M10" s="5"/>
      <c r="N10" s="5"/>
      <c r="R10" s="18" t="str">
        <f ca="1">"Курс НБУ на "&amp;TEXT(NOW(),"ДД.ММ.ГГГГ")&amp;" р."</f>
        <v>Курс НБУ на ДД.ММ.ГГГГ р.</v>
      </c>
      <c r="T10" s="18"/>
      <c r="U10" s="18"/>
    </row>
    <row r="11" spans="11:21" ht="3.75" customHeight="1">
      <c r="K11" s="5"/>
      <c r="L11" s="5"/>
      <c r="M11" s="5"/>
      <c r="N11" s="5"/>
      <c r="R11" s="18"/>
      <c r="T11" s="18"/>
      <c r="U11" s="18"/>
    </row>
    <row r="12" spans="2:21" ht="12.75" customHeight="1">
      <c r="B12" s="3" t="str">
        <f>"Програма кредитування:"</f>
        <v>Програма кредитування:</v>
      </c>
      <c r="J12" s="127" t="str">
        <f>"Початкова сума ліміту овердрафту"</f>
        <v>Початкова сума ліміту овердрафту</v>
      </c>
      <c r="K12" s="127"/>
      <c r="L12" s="127"/>
      <c r="N12" s="45"/>
      <c r="O12" s="57">
        <v>100000</v>
      </c>
      <c r="P12" s="3" t="str">
        <f>IF($D$2=2,"доларів США",IF($D$2=3,"євро","грн"))</f>
        <v>грн</v>
      </c>
      <c r="Q12" s="3" t="s">
        <v>3</v>
      </c>
      <c r="R12" s="74"/>
      <c r="T12" s="18"/>
      <c r="U12" s="33">
        <v>0.42</v>
      </c>
    </row>
    <row r="13" spans="10:21" ht="12.75" customHeight="1">
      <c r="J13" s="128" t="str">
        <f>"Максимальний за продуктом ліміт овердрафту"</f>
        <v>Максимальний за продуктом ліміт овердрафту</v>
      </c>
      <c r="K13" s="128"/>
      <c r="L13" s="128"/>
      <c r="N13" s="46"/>
      <c r="O13" s="59">
        <v>500000</v>
      </c>
      <c r="Q13" s="3" t="s">
        <v>4</v>
      </c>
      <c r="R13" s="75"/>
      <c r="T13" s="18"/>
      <c r="U13" s="33"/>
    </row>
    <row r="14" spans="2:21" ht="12.75" customHeight="1">
      <c r="B14" s="3" t="str">
        <f>"Валюта овердрафту:"</f>
        <v>Валюта овердрафту:</v>
      </c>
      <c r="J14" s="128" t="str">
        <f>"Дата кредитного договору:"</f>
        <v>Дата кредитного договору:</v>
      </c>
      <c r="K14" s="128"/>
      <c r="L14" s="128"/>
      <c r="N14" s="46"/>
      <c r="O14" s="24">
        <v>45260</v>
      </c>
      <c r="Q14" s="3" t="s">
        <v>5</v>
      </c>
      <c r="R14" s="74"/>
      <c r="T14" s="18"/>
      <c r="U14" s="34">
        <v>10000</v>
      </c>
    </row>
    <row r="15" spans="10:21" ht="1.5" customHeight="1">
      <c r="J15" s="1"/>
      <c r="K15" s="46"/>
      <c r="L15" s="46"/>
      <c r="M15" s="46"/>
      <c r="N15" s="46"/>
      <c r="O15" s="48"/>
      <c r="R15" s="75"/>
      <c r="T15" s="18"/>
      <c r="U15" s="34">
        <v>500000</v>
      </c>
    </row>
    <row r="16" spans="2:21" ht="12.75" customHeight="1">
      <c r="B16" s="19"/>
      <c r="C16" s="19"/>
      <c r="D16" s="19"/>
      <c r="E16" s="19"/>
      <c r="F16" s="20"/>
      <c r="G16" s="20"/>
      <c r="H16" s="20"/>
      <c r="J16" s="128" t="str">
        <f>"Дата завершення овердрафту:"</f>
        <v>Дата завершення овердрафту:</v>
      </c>
      <c r="K16" s="128"/>
      <c r="L16" s="128"/>
      <c r="N16" s="46"/>
      <c r="O16" s="23">
        <f>IF(DAY($O$14)&gt;25,DATE(YEAR($O$14)+1,MONTH($O$14),DAY(25)),IF(DAY($O$14)=1,DATE(YEAR($O$14)+1,MONTH($O$14-1),DAY(25)),DATE(YEAR($O$14)+1,MONTH($O$14),DAY($O$14)-1)))</f>
        <v>45621</v>
      </c>
      <c r="P16" s="4">
        <f>IF($O$16&lt;=$O$14,"Невідповідність дат","")</f>
      </c>
      <c r="Q16" s="3" t="s">
        <v>9</v>
      </c>
      <c r="R16" s="75" t="str">
        <f ca="1">"Комерційний курс на "&amp;TEXT(NOW(),"ДД.ММ.ГГГГ")&amp;" р."</f>
        <v>Комерційний курс на ДД.ММ.ГГГГ р.</v>
      </c>
      <c r="T16" s="18"/>
      <c r="U16" s="34"/>
    </row>
    <row r="17" spans="10:21" ht="3.75" customHeight="1">
      <c r="J17" s="1"/>
      <c r="K17" s="46"/>
      <c r="L17" s="46"/>
      <c r="M17" s="46"/>
      <c r="N17" s="46"/>
      <c r="O17" s="48"/>
      <c r="R17" s="75"/>
      <c r="T17" s="18"/>
      <c r="U17" s="18"/>
    </row>
    <row r="18" spans="2:21" ht="12.75" customHeight="1">
      <c r="B18" s="148" t="s">
        <v>7</v>
      </c>
      <c r="C18" s="148"/>
      <c r="D18" s="148"/>
      <c r="E18" s="149"/>
      <c r="F18" s="17">
        <v>0</v>
      </c>
      <c r="G18" s="40"/>
      <c r="H18" s="40"/>
      <c r="J18" s="138" t="s">
        <v>6</v>
      </c>
      <c r="K18" s="138"/>
      <c r="L18" s="138"/>
      <c r="N18" s="47"/>
      <c r="O18" s="36">
        <v>12</v>
      </c>
      <c r="P18" s="21">
        <f>IF(DAY($O$14)=1,23,24)</f>
        <v>24</v>
      </c>
      <c r="Q18" s="14"/>
      <c r="R18" s="75"/>
      <c r="T18" s="18"/>
      <c r="U18" s="18"/>
    </row>
    <row r="19" spans="2:18" ht="12.75" customHeight="1">
      <c r="B19" s="3" t="str">
        <f>"Процента ставка за кредитом"</f>
        <v>Процента ставка за кредитом</v>
      </c>
      <c r="F19" s="13">
        <v>0.45</v>
      </c>
      <c r="G19" s="41"/>
      <c r="H19" s="41"/>
      <c r="J19" s="128" t="str">
        <f>IF(OR($B$2=1,$B$2=2,$B$2=3,$B$2=4,$B$2=7),"Щомісячні платежі очікуються",IF(OR($B$2=5,$B$2=6),"Сплата процентів очікується"))</f>
        <v>Щомісячні платежі очікуються</v>
      </c>
      <c r="K19" s="128"/>
      <c r="L19" s="128"/>
      <c r="N19" s="46"/>
      <c r="O19" s="16">
        <v>25</v>
      </c>
      <c r="P19" s="3" t="str">
        <f>"числа кожного місяця"</f>
        <v>числа кожного місяця</v>
      </c>
      <c r="R19" s="65"/>
    </row>
    <row r="20" spans="2:18" ht="11.25" customHeight="1">
      <c r="B20" s="3" t="s">
        <v>11</v>
      </c>
      <c r="F20" s="62">
        <v>1E-07</v>
      </c>
      <c r="G20" s="42"/>
      <c r="H20" s="42"/>
      <c r="K20" s="5"/>
      <c r="L20" s="5"/>
      <c r="M20" s="5"/>
      <c r="N20" s="5"/>
      <c r="R20" s="66"/>
    </row>
    <row r="21" spans="2:18" ht="12" customHeight="1">
      <c r="B21" s="3" t="str">
        <f>"Метод розрахунку процентів"</f>
        <v>Метод розрахунку процентів</v>
      </c>
      <c r="F21" s="12" t="str">
        <f>"факт/факт"</f>
        <v>факт/факт</v>
      </c>
      <c r="G21" s="43"/>
      <c r="H21" s="43"/>
      <c r="K21" s="5"/>
      <c r="L21" s="5"/>
      <c r="M21" s="5"/>
      <c r="N21" s="5"/>
      <c r="O21" s="2"/>
      <c r="P21" s="3">
        <f>IF(OR($J$2=3),"гривень","")</f>
      </c>
      <c r="R21" s="65"/>
    </row>
    <row r="22" spans="2:14" ht="20.25" customHeight="1">
      <c r="B22" s="3" t="str">
        <f>"для розрахунку процентів береться фактична кількість днів у місяці та у році (365/366)"</f>
        <v>для розрахунку процентів береться фактична кількість днів у місяці та у році (365/366)</v>
      </c>
      <c r="K22" s="5"/>
      <c r="L22" s="5"/>
      <c r="M22" s="5"/>
      <c r="N22" s="5"/>
    </row>
    <row r="23" spans="2:24" ht="19.5" customHeight="1">
      <c r="B23" s="150" t="str">
        <f>IF(F19=25%,"","Комісія за видачу готівкових грошових коштів в установах та банкоматах  АБ  УКРГАЗБАНК від суми видачі готівки, якщо сума перевищує 1001 грн.")</f>
        <v>Комісія за видачу готівкових грошових коштів в установах та банкоматах  АБ  УКРГАЗБАНК від суми видачі готівки, якщо сума перевищує 1001 грн.</v>
      </c>
      <c r="C23" s="150"/>
      <c r="D23" s="150"/>
      <c r="E23" s="150"/>
      <c r="F23" s="150"/>
      <c r="G23" s="150"/>
      <c r="H23" s="150"/>
      <c r="I23" s="150"/>
      <c r="J23" s="150"/>
      <c r="K23" s="150"/>
      <c r="L23" s="150"/>
      <c r="M23" s="150"/>
      <c r="N23" s="150"/>
      <c r="O23" s="37">
        <v>0.04</v>
      </c>
      <c r="P23" s="91"/>
      <c r="Q23" s="91"/>
      <c r="R23" s="91"/>
      <c r="V23" s="66"/>
      <c r="W23" s="66"/>
      <c r="X23" s="5"/>
    </row>
    <row r="24" spans="2:24" ht="27.75" customHeight="1">
      <c r="B24" s="151" t="s">
        <v>12</v>
      </c>
      <c r="C24" s="151"/>
      <c r="D24" s="151"/>
      <c r="E24" s="151"/>
      <c r="F24" s="151"/>
      <c r="G24" s="151"/>
      <c r="H24" s="151"/>
      <c r="I24" s="151"/>
      <c r="J24" s="151"/>
      <c r="K24" s="151"/>
      <c r="L24" s="151"/>
      <c r="M24" s="151"/>
      <c r="N24" s="151"/>
      <c r="O24" s="39">
        <v>0</v>
      </c>
      <c r="P24" s="91"/>
      <c r="Q24" s="91"/>
      <c r="R24" s="91"/>
      <c r="V24" s="66"/>
      <c r="W24" s="66"/>
      <c r="X24" s="5"/>
    </row>
    <row r="25" spans="2:24" ht="9.75" customHeight="1">
      <c r="B25" s="100" t="s">
        <v>8</v>
      </c>
      <c r="C25" s="101"/>
      <c r="D25" s="101"/>
      <c r="E25" s="101"/>
      <c r="F25" s="102"/>
      <c r="G25" s="102"/>
      <c r="H25" s="102"/>
      <c r="I25" s="102"/>
      <c r="J25" s="101"/>
      <c r="K25" s="101"/>
      <c r="L25" s="101"/>
      <c r="M25" s="101"/>
      <c r="N25" s="101"/>
      <c r="O25" s="101"/>
      <c r="P25" s="101"/>
      <c r="Q25" s="101"/>
      <c r="R25" s="103"/>
      <c r="V25" s="66"/>
      <c r="W25" s="66"/>
      <c r="X25" s="5"/>
    </row>
    <row r="26" spans="2:18" ht="19.5" customHeight="1">
      <c r="B26" s="104" t="s">
        <v>10</v>
      </c>
      <c r="C26" s="105"/>
      <c r="D26" s="105"/>
      <c r="E26" s="105"/>
      <c r="F26" s="106"/>
      <c r="G26" s="106"/>
      <c r="H26" s="106"/>
      <c r="I26" s="106"/>
      <c r="J26" s="105"/>
      <c r="K26" s="105"/>
      <c r="L26" s="105"/>
      <c r="M26" s="105"/>
      <c r="N26" s="105"/>
      <c r="O26" s="105"/>
      <c r="P26" s="105"/>
      <c r="Q26" s="105"/>
      <c r="R26" s="107"/>
    </row>
    <row r="27" spans="2:18" ht="30.75" customHeight="1">
      <c r="B27" s="141" t="s">
        <v>60</v>
      </c>
      <c r="C27" s="142"/>
      <c r="D27" s="142"/>
      <c r="E27" s="142"/>
      <c r="F27" s="142"/>
      <c r="G27" s="142"/>
      <c r="H27" s="142"/>
      <c r="I27" s="142"/>
      <c r="J27" s="142"/>
      <c r="K27" s="142"/>
      <c r="L27" s="142"/>
      <c r="M27" s="142"/>
      <c r="N27" s="142"/>
      <c r="O27" s="142"/>
      <c r="P27" s="142"/>
      <c r="Q27" s="142"/>
      <c r="R27" s="143"/>
    </row>
    <row r="28" spans="16:17" ht="11.25" customHeight="1" hidden="1">
      <c r="P28" s="38"/>
      <c r="Q28" s="37"/>
    </row>
    <row r="29" spans="16:17" ht="24" customHeight="1" hidden="1">
      <c r="P29" s="38"/>
      <c r="Q29" s="39"/>
    </row>
    <row r="30" spans="2:17" ht="24" customHeight="1" hidden="1">
      <c r="B30" s="89"/>
      <c r="C30" s="89"/>
      <c r="D30" s="89"/>
      <c r="E30" s="89"/>
      <c r="F30" s="89"/>
      <c r="G30" s="89"/>
      <c r="H30" s="89"/>
      <c r="I30" s="89"/>
      <c r="J30" s="89"/>
      <c r="K30" s="89"/>
      <c r="L30" s="89"/>
      <c r="M30" s="89"/>
      <c r="N30" s="89"/>
      <c r="O30" s="39"/>
      <c r="P30" s="38"/>
      <c r="Q30" s="39"/>
    </row>
    <row r="31" spans="1:18" ht="17.25" customHeight="1">
      <c r="A31" s="139" t="s">
        <v>51</v>
      </c>
      <c r="B31" s="139"/>
      <c r="C31" s="139"/>
      <c r="D31" s="139"/>
      <c r="E31" s="139"/>
      <c r="F31" s="139"/>
      <c r="G31" s="139"/>
      <c r="H31" s="139"/>
      <c r="I31" s="139"/>
      <c r="J31" s="139"/>
      <c r="K31" s="139"/>
      <c r="L31" s="139"/>
      <c r="M31" s="139"/>
      <c r="N31" s="139"/>
      <c r="O31" s="139"/>
      <c r="P31" s="139"/>
      <c r="Q31" s="139"/>
      <c r="R31" s="139"/>
    </row>
    <row r="32" spans="1:20" ht="13.5" customHeight="1">
      <c r="A32" s="121" t="s">
        <v>24</v>
      </c>
      <c r="B32" s="121" t="s">
        <v>30</v>
      </c>
      <c r="C32" s="121" t="s">
        <v>29</v>
      </c>
      <c r="D32" s="129" t="str">
        <f>"Чиста сума кредиту/cума платежу за розрахунковий період, "&amp;IF($D$2=3,"євро",IF($D$2=2,"доларів США","грн."))</f>
        <v>Чиста сума кредиту/cума платежу за розрахунковий період, грн.</v>
      </c>
      <c r="E32" s="145" t="s">
        <v>34</v>
      </c>
      <c r="F32" s="146"/>
      <c r="G32" s="146"/>
      <c r="H32" s="146"/>
      <c r="I32" s="146"/>
      <c r="J32" s="146"/>
      <c r="K32" s="146"/>
      <c r="L32" s="146"/>
      <c r="M32" s="146"/>
      <c r="N32" s="146"/>
      <c r="O32" s="146"/>
      <c r="P32" s="146"/>
      <c r="Q32" s="132" t="s">
        <v>49</v>
      </c>
      <c r="R32" s="129" t="s">
        <v>50</v>
      </c>
      <c r="S32" s="76" t="s">
        <v>2</v>
      </c>
      <c r="T32" s="67"/>
    </row>
    <row r="33" spans="1:19" ht="14.25" customHeight="1">
      <c r="A33" s="122"/>
      <c r="B33" s="122"/>
      <c r="C33" s="122"/>
      <c r="D33" s="130"/>
      <c r="E33" s="121" t="s">
        <v>31</v>
      </c>
      <c r="F33" s="129" t="s">
        <v>33</v>
      </c>
      <c r="G33" s="135" t="s">
        <v>62</v>
      </c>
      <c r="H33" s="136"/>
      <c r="I33" s="136"/>
      <c r="J33" s="136"/>
      <c r="K33" s="136"/>
      <c r="L33" s="136"/>
      <c r="M33" s="136"/>
      <c r="N33" s="136"/>
      <c r="O33" s="136"/>
      <c r="P33" s="136"/>
      <c r="Q33" s="133"/>
      <c r="R33" s="130"/>
      <c r="S33" s="75"/>
    </row>
    <row r="34" spans="1:19" ht="13.5" customHeight="1">
      <c r="A34" s="122"/>
      <c r="B34" s="122"/>
      <c r="C34" s="122"/>
      <c r="D34" s="130"/>
      <c r="E34" s="122"/>
      <c r="F34" s="130"/>
      <c r="G34" s="124" t="s">
        <v>14</v>
      </c>
      <c r="H34" s="125"/>
      <c r="I34" s="125"/>
      <c r="J34" s="125"/>
      <c r="K34" s="124" t="s">
        <v>16</v>
      </c>
      <c r="L34" s="125"/>
      <c r="M34" s="124" t="s">
        <v>19</v>
      </c>
      <c r="N34" s="125"/>
      <c r="O34" s="125"/>
      <c r="P34" s="125"/>
      <c r="Q34" s="133"/>
      <c r="R34" s="130"/>
      <c r="S34" s="75"/>
    </row>
    <row r="35" spans="1:19" ht="51" customHeight="1">
      <c r="A35" s="123"/>
      <c r="B35" s="123"/>
      <c r="C35" s="123"/>
      <c r="D35" s="131"/>
      <c r="E35" s="123"/>
      <c r="F35" s="131"/>
      <c r="G35" s="54" t="s">
        <v>15</v>
      </c>
      <c r="H35" s="7" t="s">
        <v>0</v>
      </c>
      <c r="I35" s="25" t="s">
        <v>52</v>
      </c>
      <c r="J35" s="49" t="s">
        <v>38</v>
      </c>
      <c r="K35" s="55" t="s">
        <v>17</v>
      </c>
      <c r="L35" s="55" t="s">
        <v>18</v>
      </c>
      <c r="M35" s="50" t="s">
        <v>20</v>
      </c>
      <c r="N35" s="50" t="s">
        <v>21</v>
      </c>
      <c r="O35" s="50" t="s">
        <v>22</v>
      </c>
      <c r="P35" s="44" t="s">
        <v>45</v>
      </c>
      <c r="Q35" s="134"/>
      <c r="R35" s="131"/>
      <c r="S35" s="75"/>
    </row>
    <row r="36" spans="1:18" ht="11.25" customHeight="1">
      <c r="A36" s="115">
        <v>1</v>
      </c>
      <c r="B36" s="115" t="s">
        <v>25</v>
      </c>
      <c r="C36" s="117" t="s">
        <v>26</v>
      </c>
      <c r="D36" s="115" t="s">
        <v>27</v>
      </c>
      <c r="E36" s="117" t="s">
        <v>28</v>
      </c>
      <c r="F36" s="115" t="s">
        <v>32</v>
      </c>
      <c r="G36" s="119" t="s">
        <v>23</v>
      </c>
      <c r="H36" s="119" t="s">
        <v>35</v>
      </c>
      <c r="I36" s="119" t="s">
        <v>36</v>
      </c>
      <c r="J36" s="119" t="s">
        <v>37</v>
      </c>
      <c r="K36" s="119" t="s">
        <v>39</v>
      </c>
      <c r="L36" s="119" t="s">
        <v>40</v>
      </c>
      <c r="M36" s="119" t="s">
        <v>41</v>
      </c>
      <c r="N36" s="119" t="s">
        <v>42</v>
      </c>
      <c r="O36" s="119" t="s">
        <v>43</v>
      </c>
      <c r="P36" s="119" t="s">
        <v>44</v>
      </c>
      <c r="Q36" s="8" t="s">
        <v>47</v>
      </c>
      <c r="R36" s="68" t="s">
        <v>48</v>
      </c>
    </row>
    <row r="37" spans="1:18" ht="11.25" customHeight="1">
      <c r="A37" s="116"/>
      <c r="B37" s="116"/>
      <c r="C37" s="118"/>
      <c r="D37" s="116"/>
      <c r="E37" s="118"/>
      <c r="F37" s="116"/>
      <c r="G37" s="120"/>
      <c r="H37" s="120"/>
      <c r="I37" s="120"/>
      <c r="J37" s="120"/>
      <c r="K37" s="120"/>
      <c r="L37" s="120"/>
      <c r="M37" s="120"/>
      <c r="N37" s="120"/>
      <c r="O37" s="120"/>
      <c r="P37" s="120"/>
      <c r="Q37" s="9"/>
      <c r="R37" s="69"/>
    </row>
    <row r="38" spans="1:23" s="32" customFormat="1" ht="13.5" customHeight="1">
      <c r="A38" s="28">
        <v>1</v>
      </c>
      <c r="B38" s="30">
        <v>45260</v>
      </c>
      <c r="C38" s="53" t="s">
        <v>1</v>
      </c>
      <c r="D38" s="27">
        <f>E38+SUM(G38:P38)</f>
        <v>-96000</v>
      </c>
      <c r="E38" s="29">
        <f>-O12</f>
        <v>-100000</v>
      </c>
      <c r="F38" s="28" t="s">
        <v>1</v>
      </c>
      <c r="G38" s="27">
        <v>0</v>
      </c>
      <c r="H38" s="27">
        <v>0</v>
      </c>
      <c r="I38" s="27">
        <v>0</v>
      </c>
      <c r="J38" s="29">
        <f>E38*O23*(-1)</f>
        <v>4000</v>
      </c>
      <c r="K38" s="27">
        <v>0</v>
      </c>
      <c r="L38" s="29">
        <v>0</v>
      </c>
      <c r="M38" s="29">
        <v>0</v>
      </c>
      <c r="N38" s="29">
        <v>0</v>
      </c>
      <c r="O38" s="27" t="s">
        <v>13</v>
      </c>
      <c r="P38" s="29">
        <v>0</v>
      </c>
      <c r="Q38" s="51" t="str">
        <f>IF(OR($B49="Усього",$B49=""),"",IF($S38=0,_XLL.ЧИСТВНДОХ(D37:D$38,B37:B$38,0.2),"Х"))</f>
        <v>Х</v>
      </c>
      <c r="R38" s="51" t="s">
        <v>1</v>
      </c>
      <c r="S38" s="77">
        <f>-E38</f>
        <v>100000</v>
      </c>
      <c r="T38" s="70"/>
      <c r="U38" s="71"/>
      <c r="V38" s="71"/>
      <c r="W38" s="71"/>
    </row>
    <row r="39" spans="1:23" ht="9.75">
      <c r="A39" s="28">
        <v>2</v>
      </c>
      <c r="B39" s="26">
        <f aca="true" t="shared" si="0" ref="B39:B49">DATE(YEAR(B38),MONTH(B38)+1,DAY($O$19))</f>
        <v>45285</v>
      </c>
      <c r="C39" s="56">
        <f aca="true" t="shared" si="1" ref="C39:C49">B39-B38</f>
        <v>25</v>
      </c>
      <c r="D39" s="27">
        <f>IF($S38=0,SUM(D38:D$39),SUM(E39:P39))</f>
        <v>5299</v>
      </c>
      <c r="E39" s="29">
        <f>-E38*5%</f>
        <v>5000</v>
      </c>
      <c r="F39" s="61">
        <f>IF(B39-B38&lt;70,0,(S38*($F$19))*((B39-B38)-30)/(DATE(YEAR(B39)+1,1,1)-DATE(YEAR(B39),1,1)))</f>
        <v>0</v>
      </c>
      <c r="G39" s="27">
        <v>0</v>
      </c>
      <c r="H39" s="27">
        <v>299</v>
      </c>
      <c r="I39" s="27">
        <v>0</v>
      </c>
      <c r="J39" s="27">
        <f>IF(OR($B38="Усього",$B38=""),"",IF($S38=0,SUM(J$38:J38),0))</f>
        <v>0</v>
      </c>
      <c r="K39" s="27">
        <v>0</v>
      </c>
      <c r="L39" s="29">
        <v>0</v>
      </c>
      <c r="M39" s="29">
        <v>0</v>
      </c>
      <c r="N39" s="29">
        <v>0</v>
      </c>
      <c r="O39" s="27">
        <f>S38*O24</f>
        <v>0</v>
      </c>
      <c r="P39" s="29">
        <v>0</v>
      </c>
      <c r="Q39" s="6" t="str">
        <f>IF($O$12&lt;=0,0,IF($S38=0,0,"Х"))</f>
        <v>Х</v>
      </c>
      <c r="R39" s="79" t="str">
        <f aca="true" t="shared" si="2" ref="R39:R49">IF(OR($B38="Усього",$B38=""),"",IF($S38=0,SUM(F39:P39),"Х"))</f>
        <v>Х</v>
      </c>
      <c r="S39" s="80">
        <f aca="true" t="shared" si="3" ref="S39:S49">IF($S38=0,"",IF(DATE(YEAR(B38),MONTH(B38)+1,DAY($O$18))&gt;$O$16,0,S38-E39))</f>
        <v>95000</v>
      </c>
      <c r="T39" s="81">
        <f aca="true" t="shared" si="4" ref="T39:T49">IF(AND(B39&lt;=B38,B39&lt;&gt;""),"Невідповідність дат","")</f>
      </c>
      <c r="U39" s="18"/>
      <c r="V39" s="3"/>
      <c r="W39" s="3"/>
    </row>
    <row r="40" spans="1:23" ht="9.75">
      <c r="A40" s="28">
        <v>3</v>
      </c>
      <c r="B40" s="26">
        <f t="shared" si="0"/>
        <v>45316</v>
      </c>
      <c r="C40" s="56">
        <f t="shared" si="1"/>
        <v>31</v>
      </c>
      <c r="D40" s="27">
        <f>IF($S39=0,SUM(D39:D$39),SUM(E40:P40))</f>
        <v>5049</v>
      </c>
      <c r="E40" s="29">
        <f aca="true" t="shared" si="5" ref="E40:E48">S39*5%</f>
        <v>4750</v>
      </c>
      <c r="F40" s="82">
        <v>0</v>
      </c>
      <c r="G40" s="27">
        <v>0</v>
      </c>
      <c r="H40" s="27">
        <v>299</v>
      </c>
      <c r="I40" s="27">
        <v>0</v>
      </c>
      <c r="J40" s="27">
        <f>IF(OR($B39="Усього",$B39=""),"",IF($S39=0,SUM(J$38:J39),0))</f>
        <v>0</v>
      </c>
      <c r="K40" s="27">
        <v>0</v>
      </c>
      <c r="L40" s="29">
        <v>0</v>
      </c>
      <c r="M40" s="29">
        <v>0</v>
      </c>
      <c r="N40" s="29">
        <v>0</v>
      </c>
      <c r="O40" s="27">
        <f>S39*O24</f>
        <v>0</v>
      </c>
      <c r="P40" s="29">
        <v>0</v>
      </c>
      <c r="Q40" s="6" t="str">
        <f>IF(OR($B39="Усього",$B39=""),"",IF($S39=0,_XLL.ЧИСТВНДОХ(D$38:D39,B$38:B39,0.2),"Х"))</f>
        <v>Х</v>
      </c>
      <c r="R40" s="79" t="str">
        <f t="shared" si="2"/>
        <v>Х</v>
      </c>
      <c r="S40" s="80">
        <f t="shared" si="3"/>
        <v>90250</v>
      </c>
      <c r="T40" s="81">
        <f t="shared" si="4"/>
      </c>
      <c r="U40" s="18"/>
      <c r="V40" s="3"/>
      <c r="W40" s="3"/>
    </row>
    <row r="41" spans="1:23" ht="9" customHeight="1">
      <c r="A41" s="28">
        <v>4</v>
      </c>
      <c r="B41" s="26">
        <f t="shared" si="0"/>
        <v>45347</v>
      </c>
      <c r="C41" s="56">
        <f t="shared" si="1"/>
        <v>31</v>
      </c>
      <c r="D41" s="27">
        <f>IF($S40=0,SUM(D$39:D40),SUM(E41:P41))</f>
        <v>12303.383561643835</v>
      </c>
      <c r="E41" s="29">
        <f t="shared" si="5"/>
        <v>4512.5</v>
      </c>
      <c r="F41" s="61">
        <f>((E38*-1)*F19/365*C39)+(S39*F19/365*C40)+S40*F19/365*7</f>
        <v>7491.8835616438355</v>
      </c>
      <c r="G41" s="27">
        <v>0</v>
      </c>
      <c r="H41" s="27">
        <v>299</v>
      </c>
      <c r="I41" s="27">
        <v>0</v>
      </c>
      <c r="J41" s="27">
        <f>IF(OR($B40="Усього",$B40=""),"",IF($S40=0,SUM(J$38:J40),0))</f>
        <v>0</v>
      </c>
      <c r="K41" s="27">
        <v>0</v>
      </c>
      <c r="L41" s="29">
        <v>0</v>
      </c>
      <c r="M41" s="29">
        <v>0</v>
      </c>
      <c r="N41" s="29">
        <v>0</v>
      </c>
      <c r="O41" s="27">
        <f>S40*O24</f>
        <v>0</v>
      </c>
      <c r="P41" s="29">
        <v>0</v>
      </c>
      <c r="Q41" s="6" t="str">
        <f>IF(OR($B40="Усього",$B40=""),"",IF($S40=0,_XLL.ЧИСТВНДОХ(D$38:D40,B$38:B40,0.2),"Х"))</f>
        <v>Х</v>
      </c>
      <c r="R41" s="79" t="str">
        <f t="shared" si="2"/>
        <v>Х</v>
      </c>
      <c r="S41" s="80">
        <f t="shared" si="3"/>
        <v>85737.5</v>
      </c>
      <c r="T41" s="81">
        <f t="shared" si="4"/>
      </c>
      <c r="U41" s="18"/>
      <c r="V41" s="3"/>
      <c r="W41" s="3"/>
    </row>
    <row r="42" spans="1:23" ht="9.75">
      <c r="A42" s="28">
        <v>5</v>
      </c>
      <c r="B42" s="26">
        <f t="shared" si="0"/>
        <v>45376</v>
      </c>
      <c r="C42" s="56">
        <f t="shared" si="1"/>
        <v>29</v>
      </c>
      <c r="D42" s="27">
        <f>IF($S41=0,SUM(D$39:D41),SUM(E42:P42))</f>
        <v>7642.90881147541</v>
      </c>
      <c r="E42" s="29">
        <f t="shared" si="5"/>
        <v>4286.875</v>
      </c>
      <c r="F42" s="61">
        <f>IF(OR($B41="Усього",$B41=""),"",IF($S41=0,SUM(F$39:F42),S41*($F$19)*(B42-B41)/(DATE(YEAR(B40)+1,1,1)-DATE(YEAR(B40),1,1))))</f>
        <v>3057.03381147541</v>
      </c>
      <c r="G42" s="27">
        <v>0</v>
      </c>
      <c r="H42" s="27">
        <v>299</v>
      </c>
      <c r="I42" s="27">
        <v>0</v>
      </c>
      <c r="J42" s="27">
        <f>IF(OR($B41="Усього",$B41=""),"",IF($S41=0,SUM(J$38:J41),0))</f>
        <v>0</v>
      </c>
      <c r="K42" s="27">
        <v>0</v>
      </c>
      <c r="L42" s="29">
        <v>0</v>
      </c>
      <c r="M42" s="29">
        <v>0</v>
      </c>
      <c r="N42" s="29">
        <v>0</v>
      </c>
      <c r="O42" s="27">
        <f>S41*O24</f>
        <v>0</v>
      </c>
      <c r="P42" s="29">
        <v>0</v>
      </c>
      <c r="Q42" s="6" t="str">
        <f>IF(OR($B41="Усього",$B41=""),"",IF($S41=0,_XLL.ЧИСТВНДОХ(D$38:D41,B$38:B41,0.2),"Х"))</f>
        <v>Х</v>
      </c>
      <c r="R42" s="79" t="str">
        <f t="shared" si="2"/>
        <v>Х</v>
      </c>
      <c r="S42" s="80">
        <f t="shared" si="3"/>
        <v>81450.625</v>
      </c>
      <c r="T42" s="81">
        <f t="shared" si="4"/>
      </c>
      <c r="U42" s="18"/>
      <c r="V42" s="3"/>
      <c r="W42" s="3"/>
    </row>
    <row r="43" spans="1:23" ht="9.75">
      <c r="A43" s="28">
        <v>6</v>
      </c>
      <c r="B43" s="26">
        <f t="shared" si="0"/>
        <v>45407</v>
      </c>
      <c r="C43" s="56">
        <f t="shared" si="1"/>
        <v>31</v>
      </c>
      <c r="D43" s="27">
        <f>IF($S42=0,SUM(D$39:D42),SUM(E43:P43))</f>
        <v>7476.001793032787</v>
      </c>
      <c r="E43" s="29">
        <f t="shared" si="5"/>
        <v>4072.53125</v>
      </c>
      <c r="F43" s="61">
        <f>IF(OR($B42="Усього",$B42=""),"",IF($S42=0,SUM(F$39:F43),S42*($F$19)*(B43-B42)/(DATE(YEAR(B41)+1,1,1)-DATE(YEAR(B41),1,1))))</f>
        <v>3104.4705430327867</v>
      </c>
      <c r="G43" s="27">
        <v>0</v>
      </c>
      <c r="H43" s="27">
        <v>299</v>
      </c>
      <c r="I43" s="27">
        <v>0</v>
      </c>
      <c r="J43" s="27">
        <f>IF(OR($B42="Усього",$B42=""),"",IF($S42=0,SUM(J$38:J42),0))</f>
        <v>0</v>
      </c>
      <c r="K43" s="27">
        <v>0</v>
      </c>
      <c r="L43" s="29">
        <v>0</v>
      </c>
      <c r="M43" s="29">
        <v>0</v>
      </c>
      <c r="N43" s="29">
        <v>0</v>
      </c>
      <c r="O43" s="27">
        <f>S42*O24</f>
        <v>0</v>
      </c>
      <c r="P43" s="29">
        <v>0</v>
      </c>
      <c r="Q43" s="6" t="str">
        <f>IF(OR($B42="Усього",$B42=""),"",IF($S42=0,_XLL.ЧИСТВНДОХ(D$38:D42,B$38:B42,0.2),"Х"))</f>
        <v>Х</v>
      </c>
      <c r="R43" s="79" t="str">
        <f t="shared" si="2"/>
        <v>Х</v>
      </c>
      <c r="S43" s="80">
        <f t="shared" si="3"/>
        <v>77378.09375</v>
      </c>
      <c r="T43" s="81">
        <f t="shared" si="4"/>
      </c>
      <c r="U43" s="18"/>
      <c r="V43" s="3"/>
      <c r="W43" s="3"/>
    </row>
    <row r="44" spans="1:23" ht="9.75">
      <c r="A44" s="28">
        <v>7</v>
      </c>
      <c r="B44" s="26">
        <f t="shared" si="0"/>
        <v>45437</v>
      </c>
      <c r="C44" s="56">
        <f t="shared" si="1"/>
        <v>30</v>
      </c>
      <c r="D44" s="27">
        <f>IF($S43=0,SUM(D$39:D43),SUM(E44:P44))</f>
        <v>7022.014702868853</v>
      </c>
      <c r="E44" s="29">
        <f t="shared" si="5"/>
        <v>3868.9046875000004</v>
      </c>
      <c r="F44" s="61">
        <f>IF(OR($B43="Усього",$B43=""),"",IF($S43=0,SUM(F$39:F44),S43*($F$19)*(B44-B43)/(DATE(YEAR(B42)+1,1,1)-DATE(YEAR(B42),1,1))))</f>
        <v>2854.1100153688526</v>
      </c>
      <c r="G44" s="27">
        <v>0</v>
      </c>
      <c r="H44" s="27">
        <v>299</v>
      </c>
      <c r="I44" s="27">
        <v>0</v>
      </c>
      <c r="J44" s="27">
        <f>IF(OR($B43="Усього",$B43=""),"",IF($S43=0,SUM(J$38:J43),0))</f>
        <v>0</v>
      </c>
      <c r="K44" s="27">
        <v>0</v>
      </c>
      <c r="L44" s="29">
        <v>0</v>
      </c>
      <c r="M44" s="29">
        <v>0</v>
      </c>
      <c r="N44" s="29">
        <v>0</v>
      </c>
      <c r="O44" s="27">
        <f>S43*O24</f>
        <v>0</v>
      </c>
      <c r="P44" s="29">
        <v>0</v>
      </c>
      <c r="Q44" s="6" t="str">
        <f>IF(OR($B43="Усього",$B43=""),"",IF($S43=0,_XLL.ЧИСТВНДОХ(D$38:D43,B$38:B43,0.2),"Х"))</f>
        <v>Х</v>
      </c>
      <c r="R44" s="79" t="str">
        <f t="shared" si="2"/>
        <v>Х</v>
      </c>
      <c r="S44" s="80">
        <f t="shared" si="3"/>
        <v>73509.1890625</v>
      </c>
      <c r="T44" s="81">
        <f t="shared" si="4"/>
      </c>
      <c r="U44" s="34"/>
      <c r="V44" s="3"/>
      <c r="W44" s="3"/>
    </row>
    <row r="45" spans="1:23" ht="9.75">
      <c r="A45" s="28">
        <v>8</v>
      </c>
      <c r="B45" s="26">
        <f t="shared" si="0"/>
        <v>45468</v>
      </c>
      <c r="C45" s="56">
        <f t="shared" si="1"/>
        <v>31</v>
      </c>
      <c r="D45" s="27">
        <f>IF($S44=0,SUM(D$39:D44),SUM(E45:P45))</f>
        <v>6776.24411821209</v>
      </c>
      <c r="E45" s="29">
        <f t="shared" si="5"/>
        <v>3675.459453125</v>
      </c>
      <c r="F45" s="61">
        <f>IF(OR($B44="Усього",$B44=""),"",IF($S44=0,SUM(F$39:F45),S44*($F$19)*(B45-B44)/(DATE(YEAR(B43)+1,1,1)-DATE(YEAR(B43),1,1))))</f>
        <v>2801.78466508709</v>
      </c>
      <c r="G45" s="27">
        <v>0</v>
      </c>
      <c r="H45" s="27">
        <v>299</v>
      </c>
      <c r="I45" s="27">
        <v>0</v>
      </c>
      <c r="J45" s="27">
        <f>IF(OR($B44="Усього",$B44=""),"",IF($S44=0,SUM(J$38:J44),0))</f>
        <v>0</v>
      </c>
      <c r="K45" s="27">
        <v>0</v>
      </c>
      <c r="L45" s="29">
        <v>0</v>
      </c>
      <c r="M45" s="29">
        <v>0</v>
      </c>
      <c r="N45" s="29">
        <v>0</v>
      </c>
      <c r="O45" s="27">
        <f>S44*O24</f>
        <v>0</v>
      </c>
      <c r="P45" s="29">
        <v>0</v>
      </c>
      <c r="Q45" s="6" t="str">
        <f>IF(OR($B44="Усього",$B44=""),"",IF($S44=0,_XLL.ЧИСТВНДОХ(D$38:D44,B$38:B44,0.2),"Х"))</f>
        <v>Х</v>
      </c>
      <c r="R45" s="79" t="str">
        <f t="shared" si="2"/>
        <v>Х</v>
      </c>
      <c r="S45" s="80">
        <f t="shared" si="3"/>
        <v>69833.72960937499</v>
      </c>
      <c r="T45" s="81">
        <f t="shared" si="4"/>
      </c>
      <c r="U45" s="18"/>
      <c r="V45" s="3"/>
      <c r="W45" s="3"/>
    </row>
    <row r="46" spans="1:23" ht="9.75">
      <c r="A46" s="28">
        <v>9</v>
      </c>
      <c r="B46" s="26">
        <f t="shared" si="0"/>
        <v>45498</v>
      </c>
      <c r="C46" s="56">
        <f t="shared" si="1"/>
        <v>30</v>
      </c>
      <c r="D46" s="27">
        <f>IF($S45=0,SUM(D$39:D45),SUM(E46:P46))</f>
        <v>6366.5207693391385</v>
      </c>
      <c r="E46" s="29">
        <f t="shared" si="5"/>
        <v>3491.68648046875</v>
      </c>
      <c r="F46" s="61">
        <f>IF(OR($B45="Усього",$B45=""),"",IF($S45=0,SUM(F$39:F46),S45*($F$19)*(B46-B45)/(DATE(YEAR(B44)+1,1,1)-DATE(YEAR(B44),1,1))))</f>
        <v>2575.834288870389</v>
      </c>
      <c r="G46" s="27">
        <v>0</v>
      </c>
      <c r="H46" s="27">
        <v>299</v>
      </c>
      <c r="I46" s="27">
        <v>0</v>
      </c>
      <c r="J46" s="27">
        <f>IF(OR($B45="Усього",$B45=""),"",IF($S45=0,SUM(J$38:J45),0))</f>
        <v>0</v>
      </c>
      <c r="K46" s="27">
        <v>0</v>
      </c>
      <c r="L46" s="29">
        <v>0</v>
      </c>
      <c r="M46" s="29">
        <v>0</v>
      </c>
      <c r="N46" s="29">
        <v>0</v>
      </c>
      <c r="O46" s="27">
        <f>S45*O24</f>
        <v>0</v>
      </c>
      <c r="P46" s="29">
        <v>0</v>
      </c>
      <c r="Q46" s="6" t="str">
        <f>IF(OR($B45="Усього",$B45=""),"",IF($S45=0,_XLL.ЧИСТВНДОХ(D$38:D45,B$38:B45,0.2),"Х"))</f>
        <v>Х</v>
      </c>
      <c r="R46" s="79" t="str">
        <f t="shared" si="2"/>
        <v>Х</v>
      </c>
      <c r="S46" s="80">
        <f t="shared" si="3"/>
        <v>66342.04312890624</v>
      </c>
      <c r="T46" s="81">
        <f t="shared" si="4"/>
      </c>
      <c r="U46" s="18"/>
      <c r="V46" s="3"/>
      <c r="W46" s="3"/>
    </row>
    <row r="47" spans="1:23" ht="9.75">
      <c r="A47" s="28">
        <v>10</v>
      </c>
      <c r="B47" s="26">
        <f t="shared" si="0"/>
        <v>45529</v>
      </c>
      <c r="C47" s="56">
        <f t="shared" si="1"/>
        <v>31</v>
      </c>
      <c r="D47" s="27">
        <f>IF($S46=0,SUM(D$39:D46),SUM(E47:P47))</f>
        <v>6144.712816686411</v>
      </c>
      <c r="E47" s="29">
        <f t="shared" si="5"/>
        <v>3317.102156445312</v>
      </c>
      <c r="F47" s="61">
        <f>IF(OR($B46="Усього",$B46=""),"",IF($S46=0,SUM(F$39:F47),S46*($F$19)*(B47-B46)/(DATE(YEAR(B45)+1,1,1)-DATE(YEAR(B45),1,1))))</f>
        <v>2528.6106602410987</v>
      </c>
      <c r="G47" s="27">
        <v>0</v>
      </c>
      <c r="H47" s="27">
        <v>299</v>
      </c>
      <c r="I47" s="27">
        <v>0</v>
      </c>
      <c r="J47" s="27">
        <f>IF(OR($B46="Усього",$B46=""),"",IF($S46=0,SUM(J$38:J46),0))</f>
        <v>0</v>
      </c>
      <c r="K47" s="27">
        <v>0</v>
      </c>
      <c r="L47" s="29">
        <v>0</v>
      </c>
      <c r="M47" s="29">
        <v>0</v>
      </c>
      <c r="N47" s="29">
        <v>0</v>
      </c>
      <c r="O47" s="27">
        <f>S46*O24</f>
        <v>0</v>
      </c>
      <c r="P47" s="29">
        <v>0</v>
      </c>
      <c r="Q47" s="6" t="str">
        <f>IF(OR($B46="Усього",$B46=""),"",IF($S46=0,_XLL.ЧИСТВНДОХ(D$38:D46,B$38:B46,0.2),"Х"))</f>
        <v>Х</v>
      </c>
      <c r="R47" s="79" t="str">
        <f t="shared" si="2"/>
        <v>Х</v>
      </c>
      <c r="S47" s="80">
        <f t="shared" si="3"/>
        <v>63024.94097246093</v>
      </c>
      <c r="T47" s="81">
        <f t="shared" si="4"/>
      </c>
      <c r="U47" s="18"/>
      <c r="V47" s="3"/>
      <c r="W47" s="3"/>
    </row>
    <row r="48" spans="1:23" ht="9.75">
      <c r="A48" s="28">
        <v>11</v>
      </c>
      <c r="B48" s="26">
        <f t="shared" si="0"/>
        <v>45560</v>
      </c>
      <c r="C48" s="56">
        <f t="shared" si="1"/>
        <v>31</v>
      </c>
      <c r="D48" s="27">
        <f>IF($S47=0,SUM(D$39:D47),SUM(E48:P48))</f>
        <v>5852.42717585209</v>
      </c>
      <c r="E48" s="29">
        <f t="shared" si="5"/>
        <v>3151.247048623047</v>
      </c>
      <c r="F48" s="61">
        <f>IF(OR($B47="Усього",$B47=""),"",IF($S47=0,SUM(F$39:F48),S47*($F$19)*(B48-B47)/(DATE(YEAR(B46)+1,1,1)-DATE(YEAR(B46),1,1))))</f>
        <v>2402.1801272290436</v>
      </c>
      <c r="G48" s="27">
        <v>0</v>
      </c>
      <c r="H48" s="27">
        <v>299</v>
      </c>
      <c r="I48" s="27">
        <v>0</v>
      </c>
      <c r="J48" s="27">
        <f>IF(OR($B47="Усього",$B47=""),"",IF($S47=0,SUM(J$38:J47),0))</f>
        <v>0</v>
      </c>
      <c r="K48" s="27">
        <v>0</v>
      </c>
      <c r="L48" s="29">
        <v>0</v>
      </c>
      <c r="M48" s="29">
        <v>0</v>
      </c>
      <c r="N48" s="29">
        <v>0</v>
      </c>
      <c r="O48" s="27">
        <f>S47*O24</f>
        <v>0</v>
      </c>
      <c r="P48" s="29">
        <v>0</v>
      </c>
      <c r="Q48" s="6" t="str">
        <f>IF(OR($B47="Усього",$B47=""),"",IF($S47=0,_XLL.ЧИСТВНДОХ(D$38:D47,B$38:B47,0.2),"Х"))</f>
        <v>Х</v>
      </c>
      <c r="R48" s="79" t="str">
        <f t="shared" si="2"/>
        <v>Х</v>
      </c>
      <c r="S48" s="80">
        <f t="shared" si="3"/>
        <v>59873.69392383788</v>
      </c>
      <c r="T48" s="81">
        <f t="shared" si="4"/>
      </c>
      <c r="U48" s="18"/>
      <c r="V48" s="3"/>
      <c r="W48" s="3"/>
    </row>
    <row r="49" spans="1:23" ht="9.75">
      <c r="A49" s="28">
        <v>12</v>
      </c>
      <c r="B49" s="26">
        <f t="shared" si="0"/>
        <v>45590</v>
      </c>
      <c r="C49" s="56">
        <f t="shared" si="1"/>
        <v>30</v>
      </c>
      <c r="D49" s="27">
        <f>IF($S48=0,SUM(D$39:D48),SUM(E49:P49))</f>
        <v>5501.140619612144</v>
      </c>
      <c r="E49" s="27">
        <f>IF(B49=$O$16,S48,S48*5%)</f>
        <v>2993.6846961918945</v>
      </c>
      <c r="F49" s="61">
        <f>IF(OR($B48="Усього",$B48=""),"",IF($S48=0,SUM(F$39:F49),S48*($F$19)*(B49-B48)/(DATE(YEAR(B47)+1,1,1)-DATE(YEAR(B47),1,1))))</f>
        <v>2208.4559234202497</v>
      </c>
      <c r="G49" s="27">
        <v>0</v>
      </c>
      <c r="H49" s="27">
        <v>299</v>
      </c>
      <c r="I49" s="27">
        <v>0</v>
      </c>
      <c r="J49" s="27">
        <f>IF(OR($B48="Усього",$B48=""),"",IF($S48=0,SUM(J$38:J48),0))</f>
        <v>0</v>
      </c>
      <c r="K49" s="27">
        <v>0</v>
      </c>
      <c r="L49" s="29">
        <v>0</v>
      </c>
      <c r="M49" s="29">
        <v>0</v>
      </c>
      <c r="N49" s="29">
        <v>0</v>
      </c>
      <c r="O49" s="27">
        <f>S48*O24</f>
        <v>0</v>
      </c>
      <c r="P49" s="29">
        <v>0</v>
      </c>
      <c r="Q49" s="6" t="str">
        <f>IF(OR($B48="Усього",$B48=""),"",IF($S48=0,_XLL.ЧИСТВНДОХ(D$38:D48,B$38:B48,0.2),"Х"))</f>
        <v>Х</v>
      </c>
      <c r="R49" s="79" t="str">
        <f t="shared" si="2"/>
        <v>Х</v>
      </c>
      <c r="S49" s="80">
        <f t="shared" si="3"/>
        <v>56880.00922764599</v>
      </c>
      <c r="T49" s="81">
        <f t="shared" si="4"/>
      </c>
      <c r="U49" s="18"/>
      <c r="V49" s="3"/>
      <c r="W49" s="3"/>
    </row>
    <row r="50" spans="1:23" s="88" customFormat="1" ht="9.75">
      <c r="A50" s="83" t="str">
        <f>IF(DAY($O$14)=1,"","13")</f>
        <v>13</v>
      </c>
      <c r="B50" s="92">
        <f>IF(DAY($O$14)=1,"Усього",O16)</f>
        <v>45621</v>
      </c>
      <c r="C50" s="84">
        <f>IF(DAY($O$14)=1,"",B50-B49)</f>
        <v>31</v>
      </c>
      <c r="D50" s="93">
        <f>IF($S49=0,SUM(D$39:D49),SUM(E50:P50))</f>
        <v>59047.9767924702</v>
      </c>
      <c r="E50" s="93">
        <f>IF($S49=0,SUM($E$39:$E49),S49)</f>
        <v>56880.00922764599</v>
      </c>
      <c r="F50" s="93">
        <f>IF($S49=0,SUM(F$39:F49),S49*($F19)*(B50-B49)/(DATE(YEAR(B48)+1,1,1)-DATE(YEAR(B48),1,1)))</f>
        <v>2167.967564824212</v>
      </c>
      <c r="G50" s="93">
        <f>IF(OR($B49="Усього",$B49=""),"",IF($S49=0,SUM(G$38:G49),0))</f>
        <v>0</v>
      </c>
      <c r="H50" s="93">
        <f>IF(OR($B49="Усього",$B49=""),"",IF($S49=0,SUM(H$38:H49),0))</f>
        <v>0</v>
      </c>
      <c r="I50" s="93">
        <f>IF(OR($B49="Усього",$B49=""),"",IF($S49=0,SUM(I$38:I49),0))</f>
        <v>0</v>
      </c>
      <c r="J50" s="93">
        <f>IF(OR($B49="Усього",$B49=""),"",IF($S49=0,SUM(J$38:J49),0))</f>
        <v>0</v>
      </c>
      <c r="K50" s="93">
        <f>IF(OR($B49="Усього",$B49=""),"",IF($S49=0,SUM(K$38:K49),0))</f>
        <v>0</v>
      </c>
      <c r="L50" s="93">
        <f>IF(OR($B49="Усього",$B49=""),"",IF($S49=0,SUM(L$38:L49),0))</f>
        <v>0</v>
      </c>
      <c r="M50" s="93">
        <f>IF(OR($B49="Усього",$B49=""),"",IF($S49=0,SUM(M$38:M49),0))</f>
        <v>0</v>
      </c>
      <c r="N50" s="93">
        <f>IF(OR($B49="Усього",$B49=""),"",IF($S49=0,SUM(N$38:N49),0))</f>
        <v>0</v>
      </c>
      <c r="O50" s="93">
        <f>IF(OR($B49="Усього",$B49=""),"",IF($S49=0,SUM(O$38:O49),S49*O30))</f>
        <v>0</v>
      </c>
      <c r="P50" s="93">
        <f>IF(OR($B49="Усього",$B49=""),"",IF($S49=0,SUM(P$38:P49),0))</f>
        <v>0</v>
      </c>
      <c r="Q50" s="94" t="str">
        <f>IF(OR($B49="Усього",$B49=""),"",IF($S49=0,_XLL.ЧИСТВНДОХ(D$38:D49,B$38:B49,0.2),"Х"))</f>
        <v>Х</v>
      </c>
      <c r="R50" s="95" t="str">
        <f>IF(DAY($O$14)=1,SUM(E50:P50),"Х")</f>
        <v>Х</v>
      </c>
      <c r="S50" s="85">
        <f>IF($S49=0,"",IF(DATE(YEAR(B49),MONTH(B49)+1,DAY($O$18))&gt;$O$16,0,S49-E50))</f>
        <v>0</v>
      </c>
      <c r="T50" s="86"/>
      <c r="U50" s="87"/>
      <c r="V50" s="87"/>
      <c r="W50" s="87"/>
    </row>
    <row r="51" spans="1:23" s="52" customFormat="1" ht="15" customHeight="1">
      <c r="A51" s="53"/>
      <c r="B51" s="92" t="str">
        <f>IF(DAY($O$14)=1,"","Усього")</f>
        <v>Усього</v>
      </c>
      <c r="C51" s="93"/>
      <c r="D51" s="93">
        <f>IF(DAY($O$14)=1,"",SUM(D39:D50))</f>
        <v>134481.33116119297</v>
      </c>
      <c r="E51" s="93">
        <f>IF(DAY($O$14)=1,"",SUM(E39:E50))</f>
        <v>99999.99999999999</v>
      </c>
      <c r="F51" s="93">
        <f>IF(DAY($O$14)=1,"",SUM(F39:F50))</f>
        <v>31192.331161192964</v>
      </c>
      <c r="G51" s="93">
        <f aca="true" t="shared" si="6" ref="G51:P51">IF(DAY($O$14)=1,"",SUM(G38:G50))</f>
        <v>0</v>
      </c>
      <c r="H51" s="93">
        <f t="shared" si="6"/>
        <v>3289</v>
      </c>
      <c r="I51" s="93">
        <f t="shared" si="6"/>
        <v>0</v>
      </c>
      <c r="J51" s="93">
        <f t="shared" si="6"/>
        <v>4000</v>
      </c>
      <c r="K51" s="93">
        <f t="shared" si="6"/>
        <v>0</v>
      </c>
      <c r="L51" s="93">
        <f t="shared" si="6"/>
        <v>0</v>
      </c>
      <c r="M51" s="93">
        <f t="shared" si="6"/>
        <v>0</v>
      </c>
      <c r="N51" s="93">
        <f t="shared" si="6"/>
        <v>0</v>
      </c>
      <c r="O51" s="93">
        <f t="shared" si="6"/>
        <v>0</v>
      </c>
      <c r="P51" s="93">
        <f t="shared" si="6"/>
        <v>0</v>
      </c>
      <c r="Q51" s="94">
        <f>IF(OR($B50="Усього",$B50=""),"",IF($S50=0,XIRR(D$38:D50,B$38:B50,0.2),"Х"))</f>
        <v>0.6539193093776705</v>
      </c>
      <c r="R51" s="96">
        <f>IF(OR($B50="Усього",$B50=""),"",IF($S50=0,SUM(E51:P51),"Х"))</f>
        <v>138481.33116119294</v>
      </c>
      <c r="S51" s="78">
        <f>IF(OR(B51="Усього",B51=""),"",IF($S50=0,"",IF(DATE(YEAR(B50),MONTH(B50)+1,DAY($O$18))&gt;$O$16,0,S50-E51)))</f>
      </c>
      <c r="T51" s="72">
        <f>IF(AND(B51&lt;=O16,B51&lt;&gt;""),"Невідповідність дат","")</f>
      </c>
      <c r="U51" s="73"/>
      <c r="V51" s="73"/>
      <c r="W51" s="73"/>
    </row>
    <row r="52" spans="2:21" ht="6.75" customHeight="1">
      <c r="B52" s="10"/>
      <c r="C52" s="10"/>
      <c r="D52" s="10"/>
      <c r="E52" s="10"/>
      <c r="F52" s="11"/>
      <c r="G52" s="11"/>
      <c r="H52" s="11"/>
      <c r="I52" s="11"/>
      <c r="J52" s="10"/>
      <c r="K52" s="10"/>
      <c r="L52" s="10"/>
      <c r="M52" s="10"/>
      <c r="N52" s="10"/>
      <c r="O52" s="10"/>
      <c r="P52" s="10"/>
      <c r="Q52" s="10"/>
      <c r="R52" s="64"/>
      <c r="S52" s="35"/>
      <c r="T52" s="64"/>
      <c r="U52" s="64"/>
    </row>
    <row r="53" spans="6:23" s="10" customFormat="1" ht="0.75" customHeight="1" hidden="1">
      <c r="F53" s="22"/>
      <c r="G53" s="22"/>
      <c r="H53" s="22"/>
      <c r="I53" s="11"/>
      <c r="R53" s="64"/>
      <c r="S53" s="35"/>
      <c r="T53" s="64"/>
      <c r="U53" s="64"/>
      <c r="V53" s="64"/>
      <c r="W53" s="64"/>
    </row>
    <row r="54" spans="1:15" ht="36" customHeight="1">
      <c r="A54" s="109" t="s">
        <v>65</v>
      </c>
      <c r="B54" s="109"/>
      <c r="C54" s="109"/>
      <c r="D54" s="109"/>
      <c r="E54" s="109"/>
      <c r="F54" s="109"/>
      <c r="G54" s="109"/>
      <c r="H54" s="109"/>
      <c r="I54" s="109"/>
      <c r="J54" s="109"/>
      <c r="K54" s="97">
        <f>K57-O12</f>
        <v>38481.33116119294</v>
      </c>
      <c r="L54" s="98"/>
      <c r="M54" s="98"/>
      <c r="N54" s="98"/>
      <c r="O54" s="98"/>
    </row>
    <row r="55" spans="1:23" s="10" customFormat="1" ht="15.75" customHeight="1">
      <c r="A55" s="109" t="s">
        <v>63</v>
      </c>
      <c r="B55" s="109"/>
      <c r="C55" s="109"/>
      <c r="D55" s="109"/>
      <c r="E55" s="109"/>
      <c r="F55" s="109"/>
      <c r="G55" s="109"/>
      <c r="H55" s="109"/>
      <c r="I55" s="109"/>
      <c r="J55" s="109"/>
      <c r="K55" s="97">
        <f>IF(DAY($O$14)=1,SUM(G50:J50),SUM(G51:J51))</f>
        <v>7289</v>
      </c>
      <c r="L55" s="98"/>
      <c r="M55" s="98"/>
      <c r="N55" s="98"/>
      <c r="O55" s="98"/>
      <c r="R55" s="64"/>
      <c r="S55" s="35"/>
      <c r="T55" s="64"/>
      <c r="U55" s="64"/>
      <c r="V55" s="64"/>
      <c r="W55" s="64"/>
    </row>
    <row r="56" spans="1:23" s="10" customFormat="1" ht="15" customHeight="1">
      <c r="A56" s="109" t="s">
        <v>64</v>
      </c>
      <c r="B56" s="109"/>
      <c r="C56" s="109"/>
      <c r="D56" s="109"/>
      <c r="E56" s="109"/>
      <c r="F56" s="109"/>
      <c r="G56" s="109"/>
      <c r="H56" s="109"/>
      <c r="I56" s="109"/>
      <c r="J56" s="109"/>
      <c r="K56" s="97">
        <f>IF(DAY($O$14)=1,SUM(K50:P50),SUM(K51:P51))</f>
        <v>0</v>
      </c>
      <c r="L56" s="98"/>
      <c r="M56" s="98"/>
      <c r="N56" s="98"/>
      <c r="O56" s="98"/>
      <c r="R56" s="64"/>
      <c r="S56" s="35"/>
      <c r="T56" s="64"/>
      <c r="U56" s="64"/>
      <c r="V56" s="64"/>
      <c r="W56" s="64"/>
    </row>
    <row r="57" spans="1:23" s="10" customFormat="1" ht="30.75" customHeight="1">
      <c r="A57" s="109" t="s">
        <v>54</v>
      </c>
      <c r="B57" s="109"/>
      <c r="C57" s="109"/>
      <c r="D57" s="109"/>
      <c r="E57" s="109"/>
      <c r="F57" s="109"/>
      <c r="G57" s="109"/>
      <c r="H57" s="109"/>
      <c r="I57" s="109"/>
      <c r="J57" s="109"/>
      <c r="K57" s="90">
        <f>IF(DAY($O$14)=1,R50,R51)</f>
        <v>138481.33116119294</v>
      </c>
      <c r="L57" s="98"/>
      <c r="M57" s="98"/>
      <c r="N57" s="98"/>
      <c r="O57" s="98"/>
      <c r="R57" s="64"/>
      <c r="S57" s="35"/>
      <c r="T57" s="64"/>
      <c r="U57" s="64"/>
      <c r="V57" s="64"/>
      <c r="W57" s="64"/>
    </row>
    <row r="58" spans="1:23" s="10" customFormat="1" ht="16.5" customHeight="1">
      <c r="A58" s="110" t="s">
        <v>55</v>
      </c>
      <c r="B58" s="110"/>
      <c r="C58" s="110"/>
      <c r="D58" s="110"/>
      <c r="E58" s="110"/>
      <c r="F58" s="110"/>
      <c r="G58" s="110"/>
      <c r="H58" s="110"/>
      <c r="I58" s="110"/>
      <c r="J58" s="110"/>
      <c r="K58" s="99">
        <f>IF(DAY($O$14)=1,Q50,Q51)</f>
        <v>0.6539193093776705</v>
      </c>
      <c r="L58" s="98"/>
      <c r="M58" s="98"/>
      <c r="N58" s="98"/>
      <c r="O58" s="98"/>
      <c r="R58" s="64"/>
      <c r="S58" s="35"/>
      <c r="T58" s="64"/>
      <c r="U58" s="64"/>
      <c r="V58" s="64"/>
      <c r="W58" s="64"/>
    </row>
    <row r="59" spans="1:23" s="10" customFormat="1" ht="16.5" customHeight="1">
      <c r="A59" s="112" t="s">
        <v>61</v>
      </c>
      <c r="B59" s="113"/>
      <c r="C59" s="113"/>
      <c r="D59" s="113"/>
      <c r="E59" s="113"/>
      <c r="F59" s="113"/>
      <c r="G59" s="113"/>
      <c r="H59" s="113"/>
      <c r="I59" s="113"/>
      <c r="J59" s="114"/>
      <c r="K59" s="108">
        <f>(K57/E51)/(O16-O14)*100%</f>
        <v>0.0038360479546036834</v>
      </c>
      <c r="L59" s="98"/>
      <c r="M59" s="98"/>
      <c r="N59" s="98"/>
      <c r="O59" s="98"/>
      <c r="R59" s="64"/>
      <c r="S59" s="35"/>
      <c r="T59" s="64"/>
      <c r="U59" s="64"/>
      <c r="V59" s="64"/>
      <c r="W59" s="64"/>
    </row>
    <row r="60" spans="1:23" s="10" customFormat="1" ht="48.75" customHeight="1">
      <c r="A60" s="109" t="s">
        <v>56</v>
      </c>
      <c r="B60" s="109"/>
      <c r="C60" s="109"/>
      <c r="D60" s="109"/>
      <c r="E60" s="109"/>
      <c r="F60" s="109"/>
      <c r="G60" s="109"/>
      <c r="H60" s="109"/>
      <c r="I60" s="109"/>
      <c r="J60" s="109"/>
      <c r="K60" s="109"/>
      <c r="L60" s="111"/>
      <c r="M60" s="111"/>
      <c r="N60" s="111"/>
      <c r="O60" s="98"/>
      <c r="R60" s="64"/>
      <c r="S60" s="35"/>
      <c r="T60" s="64"/>
      <c r="U60" s="64"/>
      <c r="V60" s="64"/>
      <c r="W60" s="64"/>
    </row>
    <row r="61" spans="1:23" s="10" customFormat="1" ht="47.25" customHeight="1">
      <c r="A61" s="109" t="s">
        <v>57</v>
      </c>
      <c r="B61" s="109"/>
      <c r="C61" s="109"/>
      <c r="D61" s="109"/>
      <c r="E61" s="109"/>
      <c r="F61" s="109"/>
      <c r="G61" s="109"/>
      <c r="H61" s="109"/>
      <c r="I61" s="109"/>
      <c r="J61" s="109"/>
      <c r="K61" s="109"/>
      <c r="L61" s="109"/>
      <c r="M61" s="109"/>
      <c r="N61" s="109"/>
      <c r="O61" s="98"/>
      <c r="R61" s="64"/>
      <c r="S61" s="35"/>
      <c r="T61" s="64"/>
      <c r="U61" s="64"/>
      <c r="V61" s="64"/>
      <c r="W61" s="64"/>
    </row>
    <row r="62" spans="1:23" s="10" customFormat="1" ht="36.75" customHeight="1">
      <c r="A62" s="109" t="s">
        <v>58</v>
      </c>
      <c r="B62" s="109"/>
      <c r="C62" s="109"/>
      <c r="D62" s="109"/>
      <c r="E62" s="109"/>
      <c r="F62" s="109"/>
      <c r="G62" s="109"/>
      <c r="H62" s="109"/>
      <c r="I62" s="109"/>
      <c r="J62" s="109"/>
      <c r="K62" s="109"/>
      <c r="L62" s="109"/>
      <c r="M62" s="109"/>
      <c r="N62" s="109"/>
      <c r="O62" s="98"/>
      <c r="R62" s="64"/>
      <c r="S62" s="35"/>
      <c r="T62" s="64"/>
      <c r="U62" s="64"/>
      <c r="V62" s="64"/>
      <c r="W62" s="64"/>
    </row>
    <row r="63" ht="13.5">
      <c r="O63" s="98"/>
    </row>
  </sheetData>
  <sheetProtection password="D54A" sheet="1"/>
  <protectedRanges>
    <protectedRange sqref="B10:H13 I10:N11 J12:J13" name="Диапазон12"/>
    <protectedRange sqref="P23:R24" name="Диапазон10"/>
    <protectedRange sqref="E10:H15 I10:N11 I15:N15" name="Диапазон8"/>
    <protectedRange sqref="E12:H12" name="Диапазон6"/>
    <protectedRange sqref="F19:H20" name="Диапазон4"/>
    <protectedRange sqref="O12:O13 O15:O16" name="Диапазон2"/>
    <protectedRange sqref="O7 P8:Q8 O2:Q4" name="Диапазон1"/>
    <protectedRange sqref="O9 O2:O7 B2:N2 P2:IV9 B8:N9 B3:E7 N3:N7" name="Диапазон5"/>
    <protectedRange sqref="P23:R24" name="Диапазон7"/>
    <protectedRange sqref="F10:H22 I10:N11 I15:N15 I17:N17 I20:N22" name="Диапазон9"/>
    <protectedRange sqref="I2:N2 I8:N9 N3:N7" name="Диапазон11"/>
    <protectedRange sqref="O14" name="Диапазон2_1"/>
    <protectedRange sqref="O54:O56 O60:O61 O57:O59" name="Диапазон3_1_2"/>
    <protectedRange sqref="B54:N56 B60:N61 B57:J58 L57:N59" name="Диапазон3_1_3"/>
    <protectedRange sqref="K57:K58" name="Диапазон3_1_1_2"/>
    <protectedRange sqref="F3:M7" name="Диапазон5_1"/>
    <protectedRange sqref="F3 H3:M7" name="Диапазон11_1"/>
    <protectedRange sqref="B59:J59" name="Диапазон3_1"/>
    <protectedRange sqref="K59" name="Диапазон3_1_1"/>
  </protectedRanges>
  <mergeCells count="54">
    <mergeCell ref="A61:N61"/>
    <mergeCell ref="A62:N62"/>
    <mergeCell ref="F3:M7"/>
    <mergeCell ref="B32:B35"/>
    <mergeCell ref="B18:E18"/>
    <mergeCell ref="E33:E35"/>
    <mergeCell ref="F33:F35"/>
    <mergeCell ref="B23:N23"/>
    <mergeCell ref="B24:N24"/>
    <mergeCell ref="F36:F37"/>
    <mergeCell ref="Q1:S1"/>
    <mergeCell ref="J18:L18"/>
    <mergeCell ref="J19:L19"/>
    <mergeCell ref="A31:R31"/>
    <mergeCell ref="D32:D35"/>
    <mergeCell ref="B1:P1"/>
    <mergeCell ref="C32:C35"/>
    <mergeCell ref="B27:R27"/>
    <mergeCell ref="O7:P9"/>
    <mergeCell ref="E32:P32"/>
    <mergeCell ref="P36:P37"/>
    <mergeCell ref="K36:K37"/>
    <mergeCell ref="J36:J37"/>
    <mergeCell ref="M36:M37"/>
    <mergeCell ref="G33:P33"/>
    <mergeCell ref="L36:L37"/>
    <mergeCell ref="K34:L34"/>
    <mergeCell ref="M34:P34"/>
    <mergeCell ref="N36:N37"/>
    <mergeCell ref="O36:O37"/>
    <mergeCell ref="O5:R6"/>
    <mergeCell ref="J12:L12"/>
    <mergeCell ref="J13:L13"/>
    <mergeCell ref="J14:L14"/>
    <mergeCell ref="J16:L16"/>
    <mergeCell ref="R32:R35"/>
    <mergeCell ref="Q32:Q35"/>
    <mergeCell ref="A36:A37"/>
    <mergeCell ref="C36:C37"/>
    <mergeCell ref="G36:G37"/>
    <mergeCell ref="H36:H37"/>
    <mergeCell ref="A32:A35"/>
    <mergeCell ref="G34:J34"/>
    <mergeCell ref="B36:B37"/>
    <mergeCell ref="D36:D37"/>
    <mergeCell ref="I36:I37"/>
    <mergeCell ref="E36:E37"/>
    <mergeCell ref="A54:J54"/>
    <mergeCell ref="A55:J55"/>
    <mergeCell ref="A56:J56"/>
    <mergeCell ref="A57:J57"/>
    <mergeCell ref="A58:J58"/>
    <mergeCell ref="A60:N60"/>
    <mergeCell ref="A59:J59"/>
  </mergeCells>
  <conditionalFormatting sqref="Q28 O23">
    <cfRule type="cellIs" priority="1" dxfId="1" operator="equal" stopIfTrue="1">
      <formula>0</formula>
    </cfRule>
  </conditionalFormatting>
  <dataValidations count="4">
    <dataValidation showInputMessage="1" showErrorMessage="1" sqref="J2:N2"/>
    <dataValidation type="whole" operator="equal" allowBlank="1" showInputMessage="1" showErrorMessage="1" errorTitle="Увага!" error="За умовами продукту, підключення до M-banking є обов'язковим" sqref="F2:H2">
      <formula1>1</formula1>
    </dataValidation>
    <dataValidation type="list" allowBlank="1" showInputMessage="1" showErrorMessage="1" sqref="G19:H19">
      <formula1>$U$12:$U$13</formula1>
    </dataValidation>
    <dataValidation type="list" allowBlank="1" showInputMessage="1" showErrorMessage="1" sqref="O13">
      <formula1>$U$14:$U$15</formula1>
    </dataValidation>
  </dataValidations>
  <printOptions/>
  <pageMargins left="0" right="0" top="0" bottom="0" header="0" footer="0"/>
  <pageSetup fitToHeight="1" fitToWidth="1" horizontalDpi="600" verticalDpi="600" orientation="portrait" paperSize="9" scale="44" r:id="rId3"/>
  <drawing r:id="rId2"/>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Герасимов Олександр Павлович</dc:creator>
  <cp:keywords/>
  <dc:description/>
  <cp:lastModifiedBy>Касьян Ірина Сергіївна</cp:lastModifiedBy>
  <cp:lastPrinted>2016-04-28T12:09:23Z</cp:lastPrinted>
  <dcterms:created xsi:type="dcterms:W3CDTF">2007-05-30T09:57:41Z</dcterms:created>
  <dcterms:modified xsi:type="dcterms:W3CDTF">2024-05-10T07:47:56Z</dcterms:modified>
  <cp:category/>
  <cp:version/>
  <cp:contentType/>
  <cp:contentStatus/>
</cp:coreProperties>
</file>