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Домовичок 36% зп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0">'Домовичок 36% зп'!#REF!</definedName>
    <definedName name="LastFIO" localSheetId="1">'Календар (6)'!#REF!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'Домовичок 36% зп'!$B$2:$R$68</definedName>
    <definedName name="_xlnm.Print_Area" localSheetId="1">'Календар (6)'!$B$2:$R$67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2" authorId="0">
      <text>
        <r>
          <rPr>
            <b/>
            <sz val="9"/>
            <rFont val="Tahoma"/>
            <family val="2"/>
          </rPr>
          <t>Введіть суму ліміту овердрафту</t>
        </r>
      </text>
    </comment>
  </commentList>
</comments>
</file>

<file path=xl/sharedStrings.xml><?xml version="1.0" encoding="utf-8"?>
<sst xmlns="http://schemas.openxmlformats.org/spreadsheetml/2006/main" count="124" uniqueCount="68">
  <si>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</si>
  <si>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</si>
  <si>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</si>
  <si>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</si>
  <si>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</si>
  <si>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</si>
  <si>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</si>
  <si>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</si>
  <si>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</si>
  <si>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</si>
  <si>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</si>
  <si>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</si>
  <si>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</si>
  <si>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</si>
  <si>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</si>
  <si>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</si>
  <si>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</si>
  <si>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</si>
  <si>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</si>
  <si>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</si>
  <si>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</si>
  <si>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</si>
  <si>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</si>
  <si>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</si>
  <si>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</si>
  <si>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</si>
  <si>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</si>
  <si>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</si>
  <si>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</si>
  <si>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</si>
  <si>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</si>
  <si>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</si>
  <si>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</si>
  <si>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</si>
  <si>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</si>
  <si>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</si>
  <si>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</si>
  <si>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</si>
  <si>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</si>
  <si>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</si>
  <si>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</si>
  <si>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</si>
  <si>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</si>
  <si>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</si>
  <si>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</si>
  <si>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</si>
  <si>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</si>
  <si>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</si>
  <si>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</si>
  <si>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</si>
  <si>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</si>
  <si>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</si>
  <si>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</si>
  <si>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</si>
  <si>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</si>
  <si>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</si>
  <si>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</si>
  <si>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</si>
  <si>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</si>
  <si>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</si>
  <si>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</si>
  <si>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</si>
  <si>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</si>
  <si>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</si>
  <si>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</si>
  <si>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пакет «Домовичок» </t>
  </si>
  <si>
    <t>числа кожного місяця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</si>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</sst>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2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2" fillId="0" borderId="0" xfId="57" applyNumberFormat="1" applyFont="1" applyAlignment="1">
      <alignment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0" fontId="66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185" fontId="62" fillId="0" borderId="0" xfId="0" applyNumberFormat="1" applyFont="1" applyFill="1" applyBorder="1" applyAlignment="1" applyProtection="1">
      <alignment horizontal="right"/>
      <protection hidden="1"/>
    </xf>
    <xf numFmtId="184" fontId="62" fillId="0" borderId="0" xfId="57" applyNumberFormat="1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2" fillId="0" borderId="0" xfId="0" applyFont="1" applyFill="1" applyBorder="1" applyAlignment="1" applyProtection="1">
      <alignment/>
      <protection hidden="1"/>
    </xf>
    <xf numFmtId="4" fontId="62" fillId="0" borderId="0" xfId="0" applyNumberFormat="1" applyFont="1" applyFill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184" fontId="15" fillId="0" borderId="13" xfId="0" applyNumberFormat="1" applyFont="1" applyBorder="1" applyAlignment="1" applyProtection="1">
      <alignment horizontal="center"/>
      <protection hidden="1"/>
    </xf>
    <xf numFmtId="184" fontId="68" fillId="0" borderId="0" xfId="0" applyNumberFormat="1" applyFont="1" applyBorder="1" applyAlignment="1" applyProtection="1">
      <alignment horizontal="center"/>
      <protection hidden="1"/>
    </xf>
    <xf numFmtId="184" fontId="15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" fontId="15" fillId="0" borderId="13" xfId="0" applyNumberFormat="1" applyFont="1" applyBorder="1" applyAlignment="1" applyProtection="1">
      <alignment horizontal="left" vertical="center"/>
      <protection hidden="1"/>
    </xf>
    <xf numFmtId="0" fontId="69" fillId="0" borderId="0" xfId="0" applyFont="1" applyFill="1" applyAlignment="1" applyProtection="1">
      <alignment/>
      <protection hidden="1"/>
    </xf>
    <xf numFmtId="0" fontId="68" fillId="0" borderId="0" xfId="0" applyFont="1" applyFill="1" applyBorder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184" fontId="15" fillId="0" borderId="13" xfId="57" applyNumberFormat="1" applyFont="1" applyBorder="1" applyAlignment="1" applyProtection="1">
      <alignment horizontal="center"/>
      <protection hidden="1"/>
    </xf>
    <xf numFmtId="184" fontId="68" fillId="0" borderId="0" xfId="57" applyNumberFormat="1" applyFont="1" applyBorder="1" applyAlignment="1" applyProtection="1">
      <alignment horizontal="center"/>
      <protection hidden="1"/>
    </xf>
    <xf numFmtId="184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3" fontId="15" fillId="0" borderId="13" xfId="0" applyNumberFormat="1" applyFont="1" applyBorder="1" applyAlignment="1" applyProtection="1">
      <alignment horizontal="left"/>
      <protection hidden="1"/>
    </xf>
    <xf numFmtId="0" fontId="15" fillId="0" borderId="0" xfId="0" applyFont="1" applyFill="1" applyAlignment="1" applyProtection="1">
      <alignment/>
      <protection hidden="1"/>
    </xf>
    <xf numFmtId="185" fontId="68" fillId="0" borderId="0" xfId="0" applyNumberFormat="1" applyFont="1" applyFill="1" applyBorder="1" applyAlignment="1" applyProtection="1">
      <alignment horizontal="right"/>
      <protection hidden="1"/>
    </xf>
    <xf numFmtId="186" fontId="15" fillId="0" borderId="13" xfId="57" applyNumberFormat="1" applyFont="1" applyBorder="1" applyAlignment="1" applyProtection="1">
      <alignment horizontal="center"/>
      <protection hidden="1"/>
    </xf>
    <xf numFmtId="186" fontId="68" fillId="0" borderId="0" xfId="57" applyNumberFormat="1" applyFont="1" applyBorder="1" applyAlignment="1" applyProtection="1">
      <alignment horizontal="center"/>
      <protection hidden="1"/>
    </xf>
    <xf numFmtId="186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9" fontId="15" fillId="0" borderId="13" xfId="57" applyFont="1" applyBorder="1" applyAlignment="1" applyProtection="1">
      <alignment horizontal="center"/>
      <protection hidden="1"/>
    </xf>
    <xf numFmtId="9" fontId="15" fillId="0" borderId="0" xfId="57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4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 horizontal="left"/>
      <protection hidden="1"/>
    </xf>
    <xf numFmtId="4" fontId="15" fillId="0" borderId="0" xfId="0" applyNumberFormat="1" applyFont="1" applyBorder="1" applyAlignment="1" applyProtection="1">
      <alignment horizontal="left"/>
      <protection hidden="1"/>
    </xf>
    <xf numFmtId="14" fontId="15" fillId="0" borderId="0" xfId="0" applyNumberFormat="1" applyFont="1" applyAlignment="1" applyProtection="1">
      <alignment/>
      <protection hidden="1"/>
    </xf>
    <xf numFmtId="184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vertical="top" wrapText="1"/>
      <protection hidden="1"/>
    </xf>
    <xf numFmtId="10" fontId="15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49" fontId="15" fillId="0" borderId="11" xfId="0" applyNumberFormat="1" applyFont="1" applyBorder="1" applyAlignment="1" applyProtection="1">
      <alignment horizontal="center"/>
      <protection hidden="1"/>
    </xf>
    <xf numFmtId="49" fontId="15" fillId="0" borderId="12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 vertical="center"/>
      <protection hidden="1"/>
    </xf>
    <xf numFmtId="10" fontId="15" fillId="0" borderId="10" xfId="57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15" fillId="0" borderId="10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Fill="1" applyBorder="1" applyAlignment="1" applyProtection="1">
      <alignment horizontal="center"/>
      <protection hidden="1"/>
    </xf>
    <xf numFmtId="10" fontId="15" fillId="0" borderId="10" xfId="57" applyNumberFormat="1" applyFont="1" applyBorder="1" applyAlignment="1" applyProtection="1">
      <alignment horizontal="center"/>
      <protection hidden="1"/>
    </xf>
    <xf numFmtId="4" fontId="15" fillId="0" borderId="10" xfId="0" applyNumberFormat="1" applyFont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hidden="1"/>
    </xf>
    <xf numFmtId="183" fontId="15" fillId="0" borderId="10" xfId="60" applyFont="1" applyFill="1" applyBorder="1" applyAlignment="1" applyProtection="1">
      <alignment horizontal="center"/>
      <protection hidden="1"/>
    </xf>
    <xf numFmtId="14" fontId="3" fillId="0" borderId="10" xfId="0" applyNumberFormat="1" applyFont="1" applyFill="1" applyBorder="1" applyAlignment="1" applyProtection="1">
      <alignment horizontal="left" wrapText="1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16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7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7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49" fontId="15" fillId="0" borderId="11" xfId="0" applyNumberFormat="1" applyFont="1" applyBorder="1" applyAlignment="1" applyProtection="1">
      <alignment horizontal="center" vertical="center"/>
      <protection hidden="1"/>
    </xf>
    <xf numFmtId="49" fontId="15" fillId="0" borderId="12" xfId="0" applyNumberFormat="1" applyFont="1" applyBorder="1" applyAlignment="1" applyProtection="1">
      <alignment horizontal="center" vertical="center"/>
      <protection hidden="1"/>
    </xf>
    <xf numFmtId="49" fontId="15" fillId="0" borderId="11" xfId="0" applyNumberFormat="1" applyFont="1" applyFill="1" applyBorder="1" applyAlignment="1" applyProtection="1">
      <alignment horizontal="center" vertical="center"/>
      <protection hidden="1"/>
    </xf>
    <xf numFmtId="49" fontId="15" fillId="0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19" xfId="0" applyNumberFormat="1" applyFont="1" applyBorder="1" applyAlignment="1" applyProtection="1">
      <alignment horizontal="center" vertical="center"/>
      <protection hidden="1"/>
    </xf>
    <xf numFmtId="49" fontId="15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5</xdr:col>
      <xdr:colOff>542925</xdr:colOff>
      <xdr:row>6</xdr:row>
      <xdr:rowOff>0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A68"/>
  <sheetViews>
    <sheetView showGridLines="0" tabSelected="1" zoomScale="115" zoomScaleNormal="115" zoomScaleSheetLayoutView="97" workbookViewId="0" topLeftCell="A3">
      <selection activeCell="O23" sqref="O23"/>
    </sheetView>
  </sheetViews>
  <sheetFormatPr defaultColWidth="9.00390625" defaultRowHeight="12.75"/>
  <cols>
    <col min="1" max="1" width="3.375" style="92" customWidth="1"/>
    <col min="2" max="2" width="11.00390625" style="92" customWidth="1"/>
    <col min="3" max="3" width="7.75390625" style="92" hidden="1" customWidth="1"/>
    <col min="4" max="4" width="13.25390625" style="92" customWidth="1"/>
    <col min="5" max="5" width="10.125" style="92" customWidth="1"/>
    <col min="6" max="6" width="11.875" style="98" customWidth="1"/>
    <col min="7" max="7" width="12.00390625" style="98" customWidth="1"/>
    <col min="8" max="8" width="9.25390625" style="98" customWidth="1"/>
    <col min="9" max="9" width="12.00390625" style="98" customWidth="1"/>
    <col min="10" max="10" width="16.875" style="92" customWidth="1"/>
    <col min="11" max="11" width="8.25390625" style="92" customWidth="1"/>
    <col min="12" max="12" width="11.125" style="92" customWidth="1"/>
    <col min="13" max="13" width="7.875" style="92" customWidth="1"/>
    <col min="14" max="14" width="8.25390625" style="92" customWidth="1"/>
    <col min="15" max="15" width="10.625" style="92" customWidth="1"/>
    <col min="16" max="16" width="8.25390625" style="92" customWidth="1"/>
    <col min="17" max="17" width="10.125" style="92" customWidth="1"/>
    <col min="18" max="18" width="11.875" style="92" customWidth="1"/>
    <col min="19" max="19" width="11.875" style="92" hidden="1" customWidth="1"/>
    <col min="20" max="20" width="1.875" style="92" bestFit="1" customWidth="1"/>
    <col min="21" max="21" width="9.125" style="92" customWidth="1"/>
    <col min="22" max="23" width="9.125" style="92" hidden="1" customWidth="1"/>
    <col min="24" max="16384" width="9.125" style="92" customWidth="1"/>
  </cols>
  <sheetData>
    <row r="1" spans="2:17" ht="39" customHeight="1" hidden="1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91"/>
    </row>
    <row r="2" spans="2:18" ht="16.5" customHeight="1">
      <c r="B2" s="93">
        <v>1</v>
      </c>
      <c r="C2" s="93"/>
      <c r="D2" s="93">
        <v>1</v>
      </c>
      <c r="E2" s="93">
        <v>2</v>
      </c>
      <c r="F2" s="94">
        <v>1</v>
      </c>
      <c r="G2" s="94"/>
      <c r="H2" s="94"/>
      <c r="I2" s="94">
        <v>1</v>
      </c>
      <c r="J2" s="93">
        <v>1</v>
      </c>
      <c r="K2" s="93"/>
      <c r="L2" s="93"/>
      <c r="O2" s="95"/>
      <c r="P2" s="95"/>
      <c r="R2" s="95"/>
    </row>
    <row r="3" spans="2:18" ht="22.5" customHeight="1">
      <c r="B3" s="93" t="str">
        <f>"Домовичок"</f>
        <v>Домовичок</v>
      </c>
      <c r="C3" s="93"/>
      <c r="D3" s="93" t="str">
        <f>"гривня"</f>
        <v>гривня</v>
      </c>
      <c r="E3" s="93" t="str">
        <f>"Торговий POS-термінал"</f>
        <v>Торговий POS-термінал</v>
      </c>
      <c r="F3" s="94" t="s">
        <v>4</v>
      </c>
      <c r="G3" s="94"/>
      <c r="H3" s="94"/>
      <c r="I3" s="96" t="str">
        <f>"ДОМОВИЧОК"</f>
        <v>ДОМОВИЧОК</v>
      </c>
      <c r="J3" s="93" t="str">
        <f>"в кінці строку"</f>
        <v>в кінці строку</v>
      </c>
      <c r="K3" s="93"/>
      <c r="L3" s="93"/>
      <c r="R3" s="95"/>
    </row>
    <row r="4" spans="2:16" ht="10.5" customHeight="1">
      <c r="B4" s="93"/>
      <c r="C4" s="93"/>
      <c r="D4" s="93"/>
      <c r="E4" s="93" t="str">
        <f>"Банкомат АБ «Укргазбанк»"</f>
        <v>Банкомат АБ «Укргазбанк»</v>
      </c>
      <c r="F4" s="94" t="s">
        <v>11</v>
      </c>
      <c r="G4" s="94"/>
      <c r="H4" s="94"/>
      <c r="I4" s="96">
        <v>1</v>
      </c>
      <c r="J4" s="93" t="str">
        <f>"зменшення ліміту"</f>
        <v>зменшення ліміту</v>
      </c>
      <c r="K4" s="93"/>
      <c r="L4" s="93"/>
      <c r="O4" s="97"/>
      <c r="P4" s="95"/>
    </row>
    <row r="5" spans="2:18" ht="6" customHeight="1">
      <c r="B5" s="93"/>
      <c r="C5" s="93"/>
      <c r="D5" s="93"/>
      <c r="E5" s="93"/>
      <c r="F5" s="94"/>
      <c r="G5" s="94"/>
      <c r="H5" s="94"/>
      <c r="I5" s="96"/>
      <c r="J5" s="93" t="str">
        <f>"щомісячна очікувана сума"</f>
        <v>щомісячна очікувана сума</v>
      </c>
      <c r="K5" s="93"/>
      <c r="L5" s="93"/>
      <c r="O5" s="182"/>
      <c r="P5" s="182"/>
      <c r="Q5" s="182"/>
      <c r="R5" s="182"/>
    </row>
    <row r="6" spans="2:18" ht="6" customHeight="1">
      <c r="B6" s="93"/>
      <c r="C6" s="93"/>
      <c r="D6" s="93"/>
      <c r="E6" s="93"/>
      <c r="F6" s="94"/>
      <c r="G6" s="94"/>
      <c r="H6" s="94"/>
      <c r="I6" s="94"/>
      <c r="J6" s="93"/>
      <c r="K6" s="93"/>
      <c r="L6" s="93"/>
      <c r="O6" s="182"/>
      <c r="P6" s="182"/>
      <c r="Q6" s="182"/>
      <c r="R6" s="182"/>
    </row>
    <row r="7" spans="15:17" ht="6" customHeight="1" hidden="1">
      <c r="O7" s="183"/>
      <c r="P7" s="183"/>
      <c r="Q7" s="99"/>
    </row>
    <row r="8" spans="15:17" ht="6" customHeight="1" hidden="1">
      <c r="O8" s="183"/>
      <c r="P8" s="183"/>
      <c r="Q8" s="99"/>
    </row>
    <row r="9" spans="15:24" ht="6" customHeight="1">
      <c r="O9" s="183"/>
      <c r="P9" s="183"/>
      <c r="Q9" s="99"/>
      <c r="R9" s="93"/>
      <c r="S9" s="93"/>
      <c r="T9" s="93"/>
      <c r="U9" s="93"/>
      <c r="V9" s="93"/>
      <c r="W9" s="93"/>
      <c r="X9" s="93"/>
    </row>
    <row r="10" spans="2:24" ht="11.25">
      <c r="B10" s="100" t="str">
        <f>"Параметри кредитної програми"</f>
        <v>Параметри кредитної програми</v>
      </c>
      <c r="C10" s="100"/>
      <c r="K10" s="101"/>
      <c r="L10" s="101"/>
      <c r="M10" s="101"/>
      <c r="N10" s="101"/>
      <c r="R10" s="93" t="str">
        <f ca="1">"Курс НБУ на "&amp;TEXT(NOW(),"ДД.ММ.ГГГГ")&amp;" р."</f>
        <v>Курс НБУ на ДД.ММ.ГГГГ р.</v>
      </c>
      <c r="S10" s="93"/>
      <c r="T10" s="93"/>
      <c r="U10" s="93"/>
      <c r="V10" s="93"/>
      <c r="W10" s="93"/>
      <c r="X10" s="93"/>
    </row>
    <row r="11" spans="11:24" ht="3.75" customHeight="1">
      <c r="K11" s="101"/>
      <c r="L11" s="101"/>
      <c r="M11" s="101"/>
      <c r="N11" s="101"/>
      <c r="R11" s="93"/>
      <c r="S11" s="93"/>
      <c r="T11" s="93"/>
      <c r="U11" s="93"/>
      <c r="V11" s="93"/>
      <c r="W11" s="93"/>
      <c r="X11" s="93"/>
    </row>
    <row r="12" spans="2:24" ht="12.75" customHeight="1">
      <c r="B12" s="92" t="str">
        <f>"Програма кредитування:"</f>
        <v>Програма кредитування:</v>
      </c>
      <c r="J12" s="184" t="str">
        <f>"Початкова сума ліміту овердрафту"</f>
        <v>Початкова сума ліміту овердрафту</v>
      </c>
      <c r="K12" s="184"/>
      <c r="L12" s="184"/>
      <c r="N12" s="102"/>
      <c r="O12" s="90">
        <v>10000</v>
      </c>
      <c r="P12" s="103" t="s">
        <v>61</v>
      </c>
      <c r="Q12" s="104"/>
      <c r="R12" s="105"/>
      <c r="S12" s="104"/>
      <c r="T12" s="104"/>
      <c r="U12" s="106"/>
      <c r="V12" s="104"/>
      <c r="W12" s="104"/>
      <c r="X12" s="104"/>
    </row>
    <row r="13" spans="10:24" ht="12.75" customHeight="1">
      <c r="J13" s="185" t="str">
        <f>"Максимальний за продуктом ліміт овердрафту"</f>
        <v>Максимальний за продуктом ліміт овердрафту</v>
      </c>
      <c r="K13" s="185"/>
      <c r="L13" s="185"/>
      <c r="N13" s="107"/>
      <c r="O13" s="56">
        <v>300000</v>
      </c>
      <c r="P13" s="104"/>
      <c r="Q13" s="104"/>
      <c r="R13" s="108"/>
      <c r="S13" s="104"/>
      <c r="T13" s="104"/>
      <c r="U13" s="106">
        <v>0.36</v>
      </c>
      <c r="V13" s="104"/>
      <c r="W13" s="104"/>
      <c r="X13" s="104"/>
    </row>
    <row r="14" spans="2:24" ht="12.75" customHeight="1">
      <c r="B14" s="92" t="str">
        <f>"Валюта овердрафту:"</f>
        <v>Валюта овердрафту:</v>
      </c>
      <c r="J14" s="185" t="str">
        <f>"Дата кредитного договору:"</f>
        <v>Дата кредитного договору:</v>
      </c>
      <c r="K14" s="185"/>
      <c r="L14" s="185"/>
      <c r="N14" s="107"/>
      <c r="O14" s="38">
        <f ca="1">TODAY()</f>
        <v>44096</v>
      </c>
      <c r="P14" s="104"/>
      <c r="Q14" s="104"/>
      <c r="R14" s="105"/>
      <c r="S14" s="104"/>
      <c r="T14" s="104"/>
      <c r="U14" s="109">
        <v>300000</v>
      </c>
      <c r="V14" s="104"/>
      <c r="W14" s="104"/>
      <c r="X14" s="104"/>
    </row>
    <row r="15" spans="10:24" ht="11.25" customHeight="1" hidden="1">
      <c r="J15" s="98"/>
      <c r="K15" s="107"/>
      <c r="L15" s="107"/>
      <c r="M15" s="107"/>
      <c r="N15" s="107"/>
      <c r="O15" s="110"/>
      <c r="P15" s="104"/>
      <c r="Q15" s="104"/>
      <c r="R15" s="108"/>
      <c r="S15" s="104"/>
      <c r="T15" s="104"/>
      <c r="U15" s="104"/>
      <c r="V15" s="104"/>
      <c r="W15" s="104"/>
      <c r="X15" s="104"/>
    </row>
    <row r="16" spans="2:24" ht="12.75" customHeight="1">
      <c r="B16" s="111"/>
      <c r="C16" s="111"/>
      <c r="D16" s="111"/>
      <c r="E16" s="111"/>
      <c r="F16" s="112"/>
      <c r="G16" s="112"/>
      <c r="H16" s="112"/>
      <c r="J16" s="185" t="str">
        <f>"Дата завершення овердрафту:"</f>
        <v>Дата завершення овердрафту:</v>
      </c>
      <c r="K16" s="185"/>
      <c r="L16" s="185"/>
      <c r="N16" s="107"/>
      <c r="O16" s="38">
        <f>IF(DAY($O$14)&gt;25,DATE(YEAR($O$14)+1,MONTH($O$14),DAY(25)),IF(DAY($O$14)=1,DATE(YEAR($O$14)+1,MONTH($O$14-1),DAY(25)),DATE(YEAR($O$14)+1,MONTH($O$14),DAY($O$14)-1)))</f>
        <v>44460</v>
      </c>
      <c r="P16" s="104"/>
      <c r="Q16" s="104"/>
      <c r="R16" s="108"/>
      <c r="S16" s="104"/>
      <c r="T16" s="104"/>
      <c r="U16" s="104"/>
      <c r="V16" s="104"/>
      <c r="W16" s="104"/>
      <c r="X16" s="104"/>
    </row>
    <row r="17" spans="10:24" ht="3.75" customHeight="1" hidden="1">
      <c r="J17" s="98"/>
      <c r="K17" s="107"/>
      <c r="L17" s="107"/>
      <c r="M17" s="107"/>
      <c r="N17" s="107"/>
      <c r="O17" s="110"/>
      <c r="P17" s="104"/>
      <c r="Q17" s="104"/>
      <c r="R17" s="108"/>
      <c r="S17" s="104"/>
      <c r="T17" s="104"/>
      <c r="U17" s="104"/>
      <c r="V17" s="104"/>
      <c r="W17" s="104"/>
      <c r="X17" s="104"/>
    </row>
    <row r="18" spans="1:24" ht="21.75" customHeight="1">
      <c r="A18" s="113"/>
      <c r="B18" s="186" t="s">
        <v>8</v>
      </c>
      <c r="C18" s="186"/>
      <c r="D18" s="186"/>
      <c r="E18" s="187"/>
      <c r="F18" s="114">
        <v>0</v>
      </c>
      <c r="G18" s="115">
        <v>0</v>
      </c>
      <c r="H18" s="116"/>
      <c r="I18" s="117"/>
      <c r="J18" s="188" t="s">
        <v>7</v>
      </c>
      <c r="K18" s="188"/>
      <c r="L18" s="188"/>
      <c r="M18" s="113"/>
      <c r="N18" s="118"/>
      <c r="O18" s="119">
        <v>12</v>
      </c>
      <c r="P18" s="120">
        <v>12</v>
      </c>
      <c r="Q18" s="120">
        <v>25</v>
      </c>
      <c r="R18" s="121"/>
      <c r="S18" s="122"/>
      <c r="T18" s="122"/>
      <c r="U18" s="104"/>
      <c r="V18" s="104"/>
      <c r="W18" s="104"/>
      <c r="X18" s="104"/>
    </row>
    <row r="19" spans="1:24" ht="12.75" customHeight="1">
      <c r="A19" s="113"/>
      <c r="B19" s="113" t="str">
        <f>"Процента ставка за кредитом"</f>
        <v>Процента ставка за кредитом</v>
      </c>
      <c r="C19" s="113"/>
      <c r="D19" s="113"/>
      <c r="E19" s="113"/>
      <c r="F19" s="123">
        <v>0.36</v>
      </c>
      <c r="G19" s="124">
        <v>0.36</v>
      </c>
      <c r="H19" s="125"/>
      <c r="I19" s="117"/>
      <c r="J19" s="189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189"/>
      <c r="L19" s="189"/>
      <c r="M19" s="113"/>
      <c r="N19" s="126"/>
      <c r="O19" s="127">
        <v>25</v>
      </c>
      <c r="P19" s="128" t="s">
        <v>66</v>
      </c>
      <c r="Q19" s="122"/>
      <c r="R19" s="129"/>
      <c r="S19" s="122"/>
      <c r="T19" s="122"/>
      <c r="U19" s="104"/>
      <c r="V19" s="104"/>
      <c r="W19" s="104"/>
      <c r="X19" s="104"/>
    </row>
    <row r="20" spans="1:24" ht="11.25" customHeight="1">
      <c r="A20" s="113"/>
      <c r="B20" s="113" t="s">
        <v>13</v>
      </c>
      <c r="C20" s="113"/>
      <c r="D20" s="113"/>
      <c r="E20" s="113"/>
      <c r="F20" s="130">
        <v>1E-06</v>
      </c>
      <c r="G20" s="131">
        <v>1E-06</v>
      </c>
      <c r="H20" s="132"/>
      <c r="I20" s="117"/>
      <c r="J20" s="113"/>
      <c r="K20" s="133"/>
      <c r="L20" s="133"/>
      <c r="M20" s="133"/>
      <c r="N20" s="133"/>
      <c r="O20" s="113"/>
      <c r="P20" s="122"/>
      <c r="Q20" s="122"/>
      <c r="R20" s="121"/>
      <c r="S20" s="122"/>
      <c r="T20" s="122"/>
      <c r="U20" s="104"/>
      <c r="V20" s="104"/>
      <c r="W20" s="104"/>
      <c r="X20" s="104"/>
    </row>
    <row r="21" spans="1:24" ht="12" customHeight="1">
      <c r="A21" s="113"/>
      <c r="B21" s="113" t="str">
        <f>"Метод розрахунку процентів"</f>
        <v>Метод розрахунку процентів</v>
      </c>
      <c r="C21" s="113"/>
      <c r="D21" s="113"/>
      <c r="E21" s="113"/>
      <c r="F21" s="134" t="str">
        <f>"факт/факт"</f>
        <v>факт/факт</v>
      </c>
      <c r="G21" s="135"/>
      <c r="H21" s="135"/>
      <c r="I21" s="117"/>
      <c r="J21" s="136" t="s">
        <v>62</v>
      </c>
      <c r="K21" s="136"/>
      <c r="L21" s="136"/>
      <c r="M21" s="137"/>
      <c r="N21" s="137"/>
      <c r="O21" s="138">
        <f>IF(DAY($O$14)=1,R50,R51)</f>
        <v>13181.89646524401</v>
      </c>
      <c r="P21" s="103" t="s">
        <v>61</v>
      </c>
      <c r="Q21" s="122"/>
      <c r="R21" s="129"/>
      <c r="S21" s="122"/>
      <c r="T21" s="122"/>
      <c r="U21" s="104"/>
      <c r="V21" s="104"/>
      <c r="W21" s="104"/>
      <c r="X21" s="104"/>
    </row>
    <row r="22" spans="1:24" ht="12" customHeight="1">
      <c r="A22" s="113"/>
      <c r="B22" s="113"/>
      <c r="C22" s="113"/>
      <c r="D22" s="113"/>
      <c r="E22" s="113"/>
      <c r="F22" s="135"/>
      <c r="G22" s="135"/>
      <c r="H22" s="135"/>
      <c r="I22" s="117"/>
      <c r="J22" s="136" t="s">
        <v>67</v>
      </c>
      <c r="K22" s="136"/>
      <c r="L22" s="136"/>
      <c r="M22" s="137"/>
      <c r="N22" s="137"/>
      <c r="O22" s="138">
        <f>O21-O12</f>
        <v>3181.89646524401</v>
      </c>
      <c r="P22" s="103" t="s">
        <v>61</v>
      </c>
      <c r="Q22" s="122"/>
      <c r="R22" s="129"/>
      <c r="S22" s="122"/>
      <c r="T22" s="122"/>
      <c r="U22" s="104"/>
      <c r="V22" s="104"/>
      <c r="W22" s="104"/>
      <c r="X22" s="104"/>
    </row>
    <row r="23" spans="1:24" ht="17.25" customHeight="1">
      <c r="A23" s="113"/>
      <c r="B23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3" s="113"/>
      <c r="D23" s="113"/>
      <c r="E23" s="113"/>
      <c r="F23" s="117"/>
      <c r="G23" s="117"/>
      <c r="H23" s="117"/>
      <c r="I23" s="117"/>
      <c r="J23" s="136" t="s">
        <v>63</v>
      </c>
      <c r="K23" s="139"/>
      <c r="L23" s="139"/>
      <c r="M23" s="133"/>
      <c r="N23" s="133"/>
      <c r="O23" s="138">
        <f>IF(DAY($O$14)=1,Q50*100,Q51*100)</f>
        <v>57.51164257526398</v>
      </c>
      <c r="P23" s="103" t="s">
        <v>64</v>
      </c>
      <c r="Q23" s="122"/>
      <c r="R23" s="122"/>
      <c r="S23" s="122"/>
      <c r="T23" s="122"/>
      <c r="U23" s="104"/>
      <c r="V23" s="104"/>
      <c r="W23" s="104"/>
      <c r="X23" s="104"/>
    </row>
    <row r="24" spans="1:27" ht="9" customHeight="1">
      <c r="A24" s="113"/>
      <c r="B24" s="190" t="s">
        <v>65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13"/>
      <c r="T24" s="113"/>
      <c r="V24" s="101"/>
      <c r="W24" s="101"/>
      <c r="X24" s="140"/>
      <c r="Y24" s="101"/>
      <c r="Z24" s="101"/>
      <c r="AA24" s="101"/>
    </row>
    <row r="25" spans="1:27" ht="11.25">
      <c r="A25" s="113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13"/>
      <c r="T25" s="113"/>
      <c r="V25" s="101"/>
      <c r="W25" s="101"/>
      <c r="X25" s="140"/>
      <c r="Y25" s="101"/>
      <c r="Z25" s="101"/>
      <c r="AA25" s="101"/>
    </row>
    <row r="26" spans="1:27" ht="9.75" customHeight="1">
      <c r="A26" s="113"/>
      <c r="B26" s="113" t="s">
        <v>9</v>
      </c>
      <c r="C26" s="113"/>
      <c r="D26" s="113"/>
      <c r="E26" s="113"/>
      <c r="F26" s="141"/>
      <c r="G26" s="141"/>
      <c r="H26" s="141"/>
      <c r="I26" s="141"/>
      <c r="J26" s="113"/>
      <c r="K26" s="113"/>
      <c r="L26" s="113"/>
      <c r="M26" s="113"/>
      <c r="N26" s="113"/>
      <c r="O26" s="113"/>
      <c r="P26" s="113"/>
      <c r="Q26" s="113"/>
      <c r="R26" s="142"/>
      <c r="S26" s="113"/>
      <c r="T26" s="113"/>
      <c r="V26" s="101"/>
      <c r="W26" s="101"/>
      <c r="X26" s="101"/>
      <c r="Y26" s="101"/>
      <c r="Z26" s="101"/>
      <c r="AA26" s="101"/>
    </row>
    <row r="27" spans="1:20" ht="11.25">
      <c r="A27" s="113"/>
      <c r="B27" s="113" t="s">
        <v>12</v>
      </c>
      <c r="C27" s="113"/>
      <c r="D27" s="113"/>
      <c r="E27" s="113"/>
      <c r="F27" s="141"/>
      <c r="G27" s="141"/>
      <c r="H27" s="141"/>
      <c r="I27" s="141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21.75" customHeight="1">
      <c r="A28" s="113"/>
      <c r="B28" s="191" t="s">
        <v>14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13"/>
      <c r="T28" s="113"/>
    </row>
    <row r="29" spans="1:20" ht="11.25" customHeight="1">
      <c r="A29" s="113"/>
      <c r="B29" s="192" t="str">
        <f>IF(F19=25%,"","Комісія за видачу готівкових кредитних коштів в установах та банкоматах АБ  УКРГАЗБАНК від суми видачі готівки, якщо сума перевищує 1001 грн.")</f>
        <v>Комісія за видачу готівкових кредитних коштів в установах та банкоматах АБ  УКРГАЗБАНК від суми видачі готівки, якщо сума перевищує 1001 грн.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43">
        <v>0.04</v>
      </c>
      <c r="P29" s="144"/>
      <c r="Q29" s="143"/>
      <c r="R29" s="113"/>
      <c r="S29" s="113"/>
      <c r="T29" s="113"/>
    </row>
    <row r="30" spans="1:20" ht="24" customHeight="1">
      <c r="A30" s="113"/>
      <c r="B30" s="192" t="s">
        <v>15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45">
        <v>0.007</v>
      </c>
      <c r="P30" s="144"/>
      <c r="Q30" s="145"/>
      <c r="R30" s="113"/>
      <c r="S30" s="113"/>
      <c r="T30" s="113"/>
    </row>
    <row r="31" spans="1:20" ht="17.25" customHeight="1">
      <c r="A31" s="193" t="s">
        <v>55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13"/>
      <c r="T31" s="113"/>
    </row>
    <row r="32" spans="1:20" ht="13.5" customHeight="1">
      <c r="A32" s="194" t="s">
        <v>27</v>
      </c>
      <c r="B32" s="194" t="s">
        <v>33</v>
      </c>
      <c r="C32" s="194" t="s">
        <v>32</v>
      </c>
      <c r="D32" s="197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2" s="200" t="s">
        <v>37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2" t="s">
        <v>52</v>
      </c>
      <c r="R32" s="197" t="s">
        <v>53</v>
      </c>
      <c r="S32" s="146" t="s">
        <v>2</v>
      </c>
      <c r="T32" s="146"/>
    </row>
    <row r="33" spans="1:20" ht="14.25" customHeight="1">
      <c r="A33" s="195"/>
      <c r="B33" s="195"/>
      <c r="C33" s="195"/>
      <c r="D33" s="198"/>
      <c r="E33" s="194" t="s">
        <v>34</v>
      </c>
      <c r="F33" s="197" t="s">
        <v>36</v>
      </c>
      <c r="G33" s="205" t="s">
        <v>56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3"/>
      <c r="R33" s="198"/>
      <c r="S33" s="133"/>
      <c r="T33" s="113"/>
    </row>
    <row r="34" spans="1:20" ht="21" customHeight="1">
      <c r="A34" s="195"/>
      <c r="B34" s="195"/>
      <c r="C34" s="195"/>
      <c r="D34" s="198"/>
      <c r="E34" s="195"/>
      <c r="F34" s="198"/>
      <c r="G34" s="207" t="s">
        <v>17</v>
      </c>
      <c r="H34" s="208"/>
      <c r="I34" s="208"/>
      <c r="J34" s="208"/>
      <c r="K34" s="200" t="s">
        <v>19</v>
      </c>
      <c r="L34" s="201"/>
      <c r="M34" s="207" t="s">
        <v>22</v>
      </c>
      <c r="N34" s="208"/>
      <c r="O34" s="208"/>
      <c r="P34" s="208"/>
      <c r="Q34" s="203"/>
      <c r="R34" s="198"/>
      <c r="S34" s="133"/>
      <c r="T34" s="113"/>
    </row>
    <row r="35" spans="1:20" ht="56.25" customHeight="1">
      <c r="A35" s="196"/>
      <c r="B35" s="196"/>
      <c r="C35" s="196"/>
      <c r="D35" s="199"/>
      <c r="E35" s="196"/>
      <c r="F35" s="199"/>
      <c r="G35" s="147" t="s">
        <v>18</v>
      </c>
      <c r="H35" s="148" t="s">
        <v>59</v>
      </c>
      <c r="I35" s="147" t="s">
        <v>60</v>
      </c>
      <c r="J35" s="149" t="s">
        <v>41</v>
      </c>
      <c r="K35" s="150" t="s">
        <v>20</v>
      </c>
      <c r="L35" s="150" t="s">
        <v>21</v>
      </c>
      <c r="M35" s="151" t="s">
        <v>23</v>
      </c>
      <c r="N35" s="151" t="s">
        <v>24</v>
      </c>
      <c r="O35" s="151" t="s">
        <v>25</v>
      </c>
      <c r="P35" s="152" t="s">
        <v>48</v>
      </c>
      <c r="Q35" s="204"/>
      <c r="R35" s="199"/>
      <c r="S35" s="133"/>
      <c r="T35" s="113"/>
    </row>
    <row r="36" spans="1:20" ht="11.25" customHeight="1">
      <c r="A36" s="209">
        <v>1</v>
      </c>
      <c r="B36" s="209" t="s">
        <v>28</v>
      </c>
      <c r="C36" s="211" t="s">
        <v>29</v>
      </c>
      <c r="D36" s="209" t="s">
        <v>30</v>
      </c>
      <c r="E36" s="211" t="s">
        <v>31</v>
      </c>
      <c r="F36" s="209" t="s">
        <v>35</v>
      </c>
      <c r="G36" s="213" t="s">
        <v>26</v>
      </c>
      <c r="H36" s="213" t="s">
        <v>38</v>
      </c>
      <c r="I36" s="213" t="s">
        <v>39</v>
      </c>
      <c r="J36" s="213" t="s">
        <v>40</v>
      </c>
      <c r="K36" s="213" t="s">
        <v>42</v>
      </c>
      <c r="L36" s="213" t="s">
        <v>43</v>
      </c>
      <c r="M36" s="213" t="s">
        <v>44</v>
      </c>
      <c r="N36" s="213" t="s">
        <v>45</v>
      </c>
      <c r="O36" s="213" t="s">
        <v>46</v>
      </c>
      <c r="P36" s="213" t="s">
        <v>47</v>
      </c>
      <c r="Q36" s="153" t="s">
        <v>50</v>
      </c>
      <c r="R36" s="153" t="s">
        <v>51</v>
      </c>
      <c r="S36" s="113"/>
      <c r="T36" s="113"/>
    </row>
    <row r="37" spans="1:20" ht="11.25" customHeight="1">
      <c r="A37" s="210"/>
      <c r="B37" s="210"/>
      <c r="C37" s="212"/>
      <c r="D37" s="210"/>
      <c r="E37" s="212"/>
      <c r="F37" s="210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154"/>
      <c r="R37" s="154"/>
      <c r="S37" s="113"/>
      <c r="T37" s="113"/>
    </row>
    <row r="38" spans="1:20" s="162" customFormat="1" ht="13.5" customHeight="1">
      <c r="A38" s="155">
        <v>1</v>
      </c>
      <c r="B38" s="156">
        <f>DATE(YEAR($O$14),MONTH($O$14),DAY($O$14))</f>
        <v>44096</v>
      </c>
      <c r="C38" s="157" t="s">
        <v>1</v>
      </c>
      <c r="D38" s="158">
        <f>E38+SUM(G38:P38)</f>
        <v>-9600</v>
      </c>
      <c r="E38" s="159">
        <f>-O12</f>
        <v>-10000</v>
      </c>
      <c r="F38" s="155" t="s">
        <v>1</v>
      </c>
      <c r="G38" s="158">
        <v>0</v>
      </c>
      <c r="H38" s="158">
        <v>0</v>
      </c>
      <c r="I38" s="158">
        <v>0</v>
      </c>
      <c r="J38" s="159">
        <f>IF($B$2=1,$O$12*$O$29,0)</f>
        <v>400</v>
      </c>
      <c r="K38" s="158">
        <v>0</v>
      </c>
      <c r="L38" s="159">
        <v>0</v>
      </c>
      <c r="M38" s="159">
        <v>0</v>
      </c>
      <c r="N38" s="159">
        <v>0</v>
      </c>
      <c r="O38" s="158" t="s">
        <v>16</v>
      </c>
      <c r="P38" s="159">
        <v>0</v>
      </c>
      <c r="Q38" s="160" t="str">
        <f>IF(OR($B49="Усього",$B49=""),"",IF($S38=0,_XLL.ЧИСТВНДОХ(D37:D$38,B37:B$38,0.2),"Х"))</f>
        <v>Х</v>
      </c>
      <c r="R38" s="155" t="s">
        <v>1</v>
      </c>
      <c r="S38" s="161">
        <f>-E38</f>
        <v>10000</v>
      </c>
      <c r="T38" s="161"/>
    </row>
    <row r="39" spans="1:20" ht="11.25">
      <c r="A39" s="155">
        <v>2</v>
      </c>
      <c r="B39" s="163">
        <f aca="true" t="shared" si="0" ref="B39:B49">DATE(YEAR(B38),MONTH(B38)+1,DAY($O$19))</f>
        <v>44129</v>
      </c>
      <c r="C39" s="164">
        <f aca="true" t="shared" si="1" ref="C39:C49">B39-B38</f>
        <v>33</v>
      </c>
      <c r="D39" s="158">
        <f>IF($S38=0,SUM(D38:D$39),SUM(E39:P39))</f>
        <v>799.5081967213116</v>
      </c>
      <c r="E39" s="159">
        <f>-E38*7%</f>
        <v>700.0000000000001</v>
      </c>
      <c r="F39" s="158">
        <f>IF(B39-B38&lt;30,0,(S38*($F$19))*((B39-B38)-30)/(DATE(YEAR(B39)+1,1,1)-DATE(YEAR(B39),1,1)))</f>
        <v>29.508196721311474</v>
      </c>
      <c r="G39" s="158">
        <v>0</v>
      </c>
      <c r="H39" s="158">
        <v>0</v>
      </c>
      <c r="I39" s="158">
        <v>0</v>
      </c>
      <c r="J39" s="158">
        <f>IF(OR($B38="Усього",$B38=""),"",IF($S38=0,SUM(J$38:J38),0))</f>
        <v>0</v>
      </c>
      <c r="K39" s="158">
        <v>0</v>
      </c>
      <c r="L39" s="159">
        <v>0</v>
      </c>
      <c r="M39" s="159">
        <v>0</v>
      </c>
      <c r="N39" s="159">
        <v>0</v>
      </c>
      <c r="O39" s="158">
        <f>S38*O30</f>
        <v>70</v>
      </c>
      <c r="P39" s="159">
        <v>0</v>
      </c>
      <c r="Q39" s="165" t="str">
        <f>IF($O$12&lt;=0,0,IF($S38=0,0,"Х"))</f>
        <v>Х</v>
      </c>
      <c r="R39" s="166" t="str">
        <f aca="true" t="shared" si="2" ref="R39:R49">IF(OR($B38="Усього",$B38=""),"",IF($S38=0,SUM(F39:P39),"Х"))</f>
        <v>Х</v>
      </c>
      <c r="S39" s="167">
        <f aca="true" t="shared" si="3" ref="S39:S50">IF($S38=0,"",IF(DATE(YEAR(B38),MONTH(B38)+1,DAY($O$18))&gt;$O$16,0,S38-E39))</f>
        <v>9300</v>
      </c>
      <c r="T39" s="168">
        <f aca="true" t="shared" si="4" ref="T39:T49">IF(AND(B39&lt;=B38,B39&lt;&gt;""),"Невідповідність дат","")</f>
      </c>
    </row>
    <row r="40" spans="1:20" ht="11.25">
      <c r="A40" s="155">
        <v>3</v>
      </c>
      <c r="B40" s="163">
        <f t="shared" si="0"/>
        <v>44160</v>
      </c>
      <c r="C40" s="164">
        <f t="shared" si="1"/>
        <v>31</v>
      </c>
      <c r="D40" s="158">
        <f>IF($S39=0,SUM(D39:D$39),SUM(E40:P40))</f>
        <v>997.6081967213116</v>
      </c>
      <c r="E40" s="159">
        <f>S39*7%</f>
        <v>651.0000000000001</v>
      </c>
      <c r="F40" s="159">
        <f>IF(B40-B38&lt;30,0,(S39*($F$19))*((B40-B38)-30)/(DATE(YEAR(B39)+1,1,1)-DATE(YEAR(B39),1,1))-F39)</f>
        <v>281.50819672131144</v>
      </c>
      <c r="G40" s="158">
        <v>0</v>
      </c>
      <c r="H40" s="158">
        <v>0</v>
      </c>
      <c r="I40" s="158">
        <v>0</v>
      </c>
      <c r="J40" s="158">
        <f>IF(OR($B39="Усього",$B39=""),"",IF($S39=0,SUM(J$38:J39),0))</f>
        <v>0</v>
      </c>
      <c r="K40" s="158">
        <v>0</v>
      </c>
      <c r="L40" s="159">
        <v>0</v>
      </c>
      <c r="M40" s="159">
        <v>0</v>
      </c>
      <c r="N40" s="159">
        <v>0</v>
      </c>
      <c r="O40" s="158">
        <f>S39*O30</f>
        <v>65.1</v>
      </c>
      <c r="P40" s="159">
        <v>0</v>
      </c>
      <c r="Q40" s="165" t="str">
        <f>IF(OR($B39="Усього",$B39=""),"",IF($S39=0,_XLL.ЧИСТВНДОХ(D$38:D39,B$38:B39,0.2),"Х"))</f>
        <v>Х</v>
      </c>
      <c r="R40" s="166" t="str">
        <f t="shared" si="2"/>
        <v>Х</v>
      </c>
      <c r="S40" s="167">
        <f t="shared" si="3"/>
        <v>8649</v>
      </c>
      <c r="T40" s="168">
        <f t="shared" si="4"/>
      </c>
    </row>
    <row r="41" spans="1:20" ht="14.25" customHeight="1">
      <c r="A41" s="155">
        <v>4</v>
      </c>
      <c r="B41" s="163">
        <f t="shared" si="0"/>
        <v>44190</v>
      </c>
      <c r="C41" s="164">
        <f t="shared" si="1"/>
        <v>30</v>
      </c>
      <c r="D41" s="158">
        <f>IF($S40=0,SUM(D$39:D40),SUM(E41:P41))</f>
        <v>921.189393442623</v>
      </c>
      <c r="E41" s="159">
        <f aca="true" t="shared" si="5" ref="E41:E48">S40*7%</f>
        <v>605.4300000000001</v>
      </c>
      <c r="F41" s="158">
        <f>IF(OR($B40="Усього",$B40=""),"",IF($S40=0,SUM(F$39:F41),S40*($F$19)*(B41-B40)/(DATE(YEAR(B39)+1,1,1)-DATE(YEAR(B39),1,1))))</f>
        <v>255.21639344262294</v>
      </c>
      <c r="G41" s="158">
        <v>0</v>
      </c>
      <c r="H41" s="158">
        <v>0</v>
      </c>
      <c r="I41" s="158">
        <v>0</v>
      </c>
      <c r="J41" s="158">
        <f>IF(OR($B40="Усього",$B40=""),"",IF($S40=0,SUM(J$38:J40),0))</f>
        <v>0</v>
      </c>
      <c r="K41" s="158">
        <v>0</v>
      </c>
      <c r="L41" s="159">
        <v>0</v>
      </c>
      <c r="M41" s="159">
        <v>0</v>
      </c>
      <c r="N41" s="159">
        <v>0</v>
      </c>
      <c r="O41" s="158">
        <f>S40*O30</f>
        <v>60.543</v>
      </c>
      <c r="P41" s="159">
        <v>0</v>
      </c>
      <c r="Q41" s="165" t="str">
        <f>IF(OR($B40="Усього",$B40=""),"",IF($S40=0,_XLL.ЧИСТВНДОХ(D$38:D40,B$38:B40,0.2),"Х"))</f>
        <v>Х</v>
      </c>
      <c r="R41" s="166" t="str">
        <f t="shared" si="2"/>
        <v>Х</v>
      </c>
      <c r="S41" s="167">
        <f t="shared" si="3"/>
        <v>8043.57</v>
      </c>
      <c r="T41" s="168">
        <f t="shared" si="4"/>
      </c>
    </row>
    <row r="42" spans="1:20" ht="11.25">
      <c r="A42" s="155">
        <v>5</v>
      </c>
      <c r="B42" s="163">
        <f t="shared" si="0"/>
        <v>44221</v>
      </c>
      <c r="C42" s="164">
        <f t="shared" si="1"/>
        <v>31</v>
      </c>
      <c r="D42" s="158">
        <f>IF($S41=0,SUM(D$39:D41),SUM(E42:P42))</f>
        <v>864.6178440983606</v>
      </c>
      <c r="E42" s="159">
        <f t="shared" si="5"/>
        <v>563.0499</v>
      </c>
      <c r="F42" s="158">
        <f>IF(OR($B41="Усього",$B41=""),"",IF($S41=0,SUM(F$39:F42),S41*($F$19)*(B42-B41)/(DATE(YEAR(B40)+1,1,1)-DATE(YEAR(B40),1,1))))</f>
        <v>245.26295409836064</v>
      </c>
      <c r="G42" s="158">
        <v>0</v>
      </c>
      <c r="H42" s="158">
        <v>0</v>
      </c>
      <c r="I42" s="158">
        <v>0</v>
      </c>
      <c r="J42" s="158">
        <f>IF(OR($B41="Усього",$B41=""),"",IF($S41=0,SUM(J$38:J41),0))</f>
        <v>0</v>
      </c>
      <c r="K42" s="158">
        <v>0</v>
      </c>
      <c r="L42" s="159">
        <v>0</v>
      </c>
      <c r="M42" s="159">
        <v>0</v>
      </c>
      <c r="N42" s="159">
        <v>0</v>
      </c>
      <c r="O42" s="158">
        <f>S41*O30</f>
        <v>56.30499</v>
      </c>
      <c r="P42" s="159">
        <v>0</v>
      </c>
      <c r="Q42" s="165" t="str">
        <f>IF(OR($B41="Усього",$B41=""),"",IF($S41=0,_XLL.ЧИСТВНДОХ(D$38:D41,B$38:B41,0.2),"Х"))</f>
        <v>Х</v>
      </c>
      <c r="R42" s="166" t="str">
        <f t="shared" si="2"/>
        <v>Х</v>
      </c>
      <c r="S42" s="167">
        <f t="shared" si="3"/>
        <v>7480.5201</v>
      </c>
      <c r="T42" s="168">
        <f t="shared" si="4"/>
      </c>
    </row>
    <row r="43" spans="1:20" ht="11.25">
      <c r="A43" s="155">
        <v>6</v>
      </c>
      <c r="B43" s="163">
        <f t="shared" si="0"/>
        <v>44252</v>
      </c>
      <c r="C43" s="164">
        <f t="shared" si="1"/>
        <v>31</v>
      </c>
      <c r="D43" s="158">
        <f>IF($S42=0,SUM(D$39:D42),SUM(E43:P43))</f>
        <v>804.0945950114755</v>
      </c>
      <c r="E43" s="159">
        <f t="shared" si="5"/>
        <v>523.6364070000001</v>
      </c>
      <c r="F43" s="158">
        <f>IF(OR($B42="Усього",$B42=""),"",IF($S42=0,SUM(F$39:F43),S42*($F$19)*(B43-B42)/(DATE(YEAR(B41)+1,1,1)-DATE(YEAR(B41),1,1))))</f>
        <v>228.0945473114754</v>
      </c>
      <c r="G43" s="158">
        <v>0</v>
      </c>
      <c r="H43" s="158">
        <v>0</v>
      </c>
      <c r="I43" s="158">
        <v>0</v>
      </c>
      <c r="J43" s="158">
        <f>IF(OR($B42="Усього",$B42=""),"",IF($S42=0,SUM(J$38:J42),0))</f>
        <v>0</v>
      </c>
      <c r="K43" s="158">
        <v>0</v>
      </c>
      <c r="L43" s="159">
        <v>0</v>
      </c>
      <c r="M43" s="159">
        <v>0</v>
      </c>
      <c r="N43" s="159">
        <v>0</v>
      </c>
      <c r="O43" s="158">
        <f>S42*O30</f>
        <v>52.3636407</v>
      </c>
      <c r="P43" s="159">
        <v>0</v>
      </c>
      <c r="Q43" s="165" t="str">
        <f>IF(OR($B42="Усього",$B42=""),"",IF($S42=0,_XLL.ЧИСТВНДОХ(D$38:D42,B$38:B42,0.2),"Х"))</f>
        <v>Х</v>
      </c>
      <c r="R43" s="166" t="str">
        <f t="shared" si="2"/>
        <v>Х</v>
      </c>
      <c r="S43" s="167">
        <f t="shared" si="3"/>
        <v>6956.883693</v>
      </c>
      <c r="T43" s="168">
        <f t="shared" si="4"/>
      </c>
    </row>
    <row r="44" spans="1:21" ht="11.25">
      <c r="A44" s="155">
        <v>7</v>
      </c>
      <c r="B44" s="163">
        <f t="shared" si="0"/>
        <v>44280</v>
      </c>
      <c r="C44" s="164">
        <f t="shared" si="1"/>
        <v>28</v>
      </c>
      <c r="D44" s="158">
        <f>IF($S43=0,SUM(D$39:D43),SUM(E44:P44))</f>
        <v>727.8043940197397</v>
      </c>
      <c r="E44" s="159">
        <f>S43*7%</f>
        <v>486.98185851000005</v>
      </c>
      <c r="F44" s="158">
        <f>IF(OR($B43="Усього",$B43=""),"",IF($S43=0,SUM(F$39:F44),S43*($F$19)*(B44-B43)/(DATE(YEAR(B42)+1,1,1)-DATE(YEAR(B42),1,1))))</f>
        <v>192.1243496587397</v>
      </c>
      <c r="G44" s="158">
        <v>0</v>
      </c>
      <c r="H44" s="158">
        <v>0</v>
      </c>
      <c r="I44" s="158">
        <v>0</v>
      </c>
      <c r="J44" s="158">
        <f>IF(OR($B43="Усього",$B43=""),"",IF($S43=0,SUM(J$38:J43),0))</f>
        <v>0</v>
      </c>
      <c r="K44" s="158">
        <v>0</v>
      </c>
      <c r="L44" s="159">
        <v>0</v>
      </c>
      <c r="M44" s="159">
        <v>0</v>
      </c>
      <c r="N44" s="159">
        <v>0</v>
      </c>
      <c r="O44" s="158">
        <f>S43*O30</f>
        <v>48.698185851</v>
      </c>
      <c r="P44" s="159">
        <v>0</v>
      </c>
      <c r="Q44" s="165" t="str">
        <f>IF(OR($B43="Усього",$B43=""),"",IF($S43=0,_XLL.ЧИСТВНДОХ(D$38:D43,B$38:B43,0.2),"Х"))</f>
        <v>Х</v>
      </c>
      <c r="R44" s="166" t="str">
        <f t="shared" si="2"/>
        <v>Х</v>
      </c>
      <c r="S44" s="167">
        <f t="shared" si="3"/>
        <v>6469.90183449</v>
      </c>
      <c r="T44" s="168">
        <f t="shared" si="4"/>
      </c>
      <c r="U44" s="169"/>
    </row>
    <row r="45" spans="1:20" ht="11.25">
      <c r="A45" s="155">
        <v>8</v>
      </c>
      <c r="B45" s="163">
        <f t="shared" si="0"/>
        <v>44311</v>
      </c>
      <c r="C45" s="164">
        <f t="shared" si="1"/>
        <v>31</v>
      </c>
      <c r="D45" s="158">
        <f>IF($S44=0,SUM(D$39:D44),SUM(E45:P45))</f>
        <v>696.0019055650681</v>
      </c>
      <c r="E45" s="159">
        <f t="shared" si="5"/>
        <v>452.8931284143</v>
      </c>
      <c r="F45" s="158">
        <f>IF(OR($B44="Усього",$B44=""),"",IF($S44=0,SUM(F$39:F45),S44*($F$19)*(B45-B44)/(DATE(YEAR(B43)+1,1,1)-DATE(YEAR(B43),1,1))))</f>
        <v>197.81946430933806</v>
      </c>
      <c r="G45" s="158">
        <v>0</v>
      </c>
      <c r="H45" s="158">
        <v>0</v>
      </c>
      <c r="I45" s="158">
        <v>0</v>
      </c>
      <c r="J45" s="158">
        <f>IF(OR($B44="Усього",$B44=""),"",IF($S44=0,SUM(J$38:J44),0))</f>
        <v>0</v>
      </c>
      <c r="K45" s="158">
        <v>0</v>
      </c>
      <c r="L45" s="159">
        <v>0</v>
      </c>
      <c r="M45" s="159">
        <v>0</v>
      </c>
      <c r="N45" s="159">
        <v>0</v>
      </c>
      <c r="O45" s="158">
        <f>S44*O30</f>
        <v>45.28931284143</v>
      </c>
      <c r="P45" s="159">
        <v>0</v>
      </c>
      <c r="Q45" s="165" t="str">
        <f>IF(OR($B44="Усього",$B44=""),"",IF($S44=0,_XLL.ЧИСТВНДОХ(D$38:D44,B$38:B44,0.2),"Х"))</f>
        <v>Х</v>
      </c>
      <c r="R45" s="166" t="str">
        <f t="shared" si="2"/>
        <v>Х</v>
      </c>
      <c r="S45" s="167">
        <f t="shared" si="3"/>
        <v>6017.0087060757</v>
      </c>
      <c r="T45" s="168">
        <f t="shared" si="4"/>
      </c>
    </row>
    <row r="46" spans="1:20" ht="11.25">
      <c r="A46" s="155">
        <v>9</v>
      </c>
      <c r="B46" s="163">
        <f t="shared" si="0"/>
        <v>44341</v>
      </c>
      <c r="C46" s="164">
        <f t="shared" si="1"/>
        <v>30</v>
      </c>
      <c r="D46" s="158">
        <f>IF($S45=0,SUM(D$39:D45),SUM(E46:P46))</f>
        <v>641.3471882462331</v>
      </c>
      <c r="E46" s="159">
        <f t="shared" si="5"/>
        <v>421.190609425299</v>
      </c>
      <c r="F46" s="158">
        <f>IF(OR($B45="Усього",$B45=""),"",IF($S45=0,SUM(F$39:F46),S45*($F$19)*(B46-B45)/(DATE(YEAR(B44)+1,1,1)-DATE(YEAR(B44),1,1))))</f>
        <v>178.03751787840426</v>
      </c>
      <c r="G46" s="158">
        <v>0</v>
      </c>
      <c r="H46" s="158">
        <v>0</v>
      </c>
      <c r="I46" s="158">
        <v>0</v>
      </c>
      <c r="J46" s="158">
        <f>IF(OR($B45="Усього",$B45=""),"",IF($S45=0,SUM(J$38:J45),0))</f>
        <v>0</v>
      </c>
      <c r="K46" s="158">
        <v>0</v>
      </c>
      <c r="L46" s="159">
        <v>0</v>
      </c>
      <c r="M46" s="159">
        <v>0</v>
      </c>
      <c r="N46" s="159">
        <v>0</v>
      </c>
      <c r="O46" s="158">
        <f>S45*O30</f>
        <v>42.1190609425299</v>
      </c>
      <c r="P46" s="159">
        <v>0</v>
      </c>
      <c r="Q46" s="165" t="str">
        <f>IF(OR($B45="Усього",$B45=""),"",IF($S45=0,_XLL.ЧИСТВНДОХ(D$38:D45,B$38:B45,0.2),"Х"))</f>
        <v>Х</v>
      </c>
      <c r="R46" s="166" t="str">
        <f t="shared" si="2"/>
        <v>Х</v>
      </c>
      <c r="S46" s="167">
        <f t="shared" si="3"/>
        <v>5595.818096650401</v>
      </c>
      <c r="T46" s="168">
        <f t="shared" si="4"/>
      </c>
    </row>
    <row r="47" spans="1:20" ht="11.25">
      <c r="A47" s="155">
        <v>10</v>
      </c>
      <c r="B47" s="163">
        <f t="shared" si="0"/>
        <v>44372</v>
      </c>
      <c r="C47" s="164">
        <f t="shared" si="1"/>
        <v>31</v>
      </c>
      <c r="D47" s="158">
        <f>IF($S46=0,SUM(D$39:D46),SUM(E47:P47))</f>
        <v>601.9720481232274</v>
      </c>
      <c r="E47" s="159">
        <f t="shared" si="5"/>
        <v>391.70726676552806</v>
      </c>
      <c r="F47" s="158">
        <f>IF(OR($B46="Усього",$B46=""),"",IF($S46=0,SUM(F$39:F47),S46*($F$19)*(B47-B46)/(DATE(YEAR(B45)+1,1,1)-DATE(YEAR(B45),1,1))))</f>
        <v>171.09405468114647</v>
      </c>
      <c r="G47" s="158">
        <v>0</v>
      </c>
      <c r="H47" s="158">
        <v>0</v>
      </c>
      <c r="I47" s="158">
        <v>0</v>
      </c>
      <c r="J47" s="158">
        <f>IF(OR($B46="Усього",$B46=""),"",IF($S46=0,SUM(J$38:J46),0))</f>
        <v>0</v>
      </c>
      <c r="K47" s="158">
        <v>0</v>
      </c>
      <c r="L47" s="159">
        <v>0</v>
      </c>
      <c r="M47" s="159">
        <v>0</v>
      </c>
      <c r="N47" s="159">
        <v>0</v>
      </c>
      <c r="O47" s="158">
        <f>S46*O30</f>
        <v>39.1707266765528</v>
      </c>
      <c r="P47" s="159">
        <v>0</v>
      </c>
      <c r="Q47" s="165" t="str">
        <f>IF(OR($B46="Усього",$B46=""),"",IF($S46=0,_XLL.ЧИСТВНДОХ(D$38:D46,B$38:B46,0.2),"Х"))</f>
        <v>Х</v>
      </c>
      <c r="R47" s="166" t="str">
        <f t="shared" si="2"/>
        <v>Х</v>
      </c>
      <c r="S47" s="167">
        <f t="shared" si="3"/>
        <v>5204.110829884872</v>
      </c>
      <c r="T47" s="168">
        <f t="shared" si="4"/>
      </c>
    </row>
    <row r="48" spans="1:20" ht="11.25">
      <c r="A48" s="155">
        <v>11</v>
      </c>
      <c r="B48" s="163">
        <f t="shared" si="0"/>
        <v>44402</v>
      </c>
      <c r="C48" s="164">
        <f t="shared" si="1"/>
        <v>30</v>
      </c>
      <c r="D48" s="158">
        <f>IF($S47=0,SUM(D$39:D47),SUM(E48:P48))</f>
        <v>554.7011831141671</v>
      </c>
      <c r="E48" s="159">
        <f t="shared" si="5"/>
        <v>364.2877580919411</v>
      </c>
      <c r="F48" s="158">
        <f>IF(OR($B47="Усього",$B47=""),"",IF($S47=0,SUM(F$39:F48),S47*($F$19)*(B48-B47)/(DATE(YEAR(B46)+1,1,1)-DATE(YEAR(B46),1,1))))</f>
        <v>153.98464921303184</v>
      </c>
      <c r="G48" s="158">
        <v>0</v>
      </c>
      <c r="H48" s="158">
        <v>0</v>
      </c>
      <c r="I48" s="158">
        <v>0</v>
      </c>
      <c r="J48" s="158">
        <f>IF(OR($B47="Усього",$B47=""),"",IF($S47=0,SUM(J$38:J47),0))</f>
        <v>0</v>
      </c>
      <c r="K48" s="158">
        <v>0</v>
      </c>
      <c r="L48" s="159">
        <v>0</v>
      </c>
      <c r="M48" s="159">
        <v>0</v>
      </c>
      <c r="N48" s="159">
        <v>0</v>
      </c>
      <c r="O48" s="158">
        <f>S47*O30</f>
        <v>36.42877580919411</v>
      </c>
      <c r="P48" s="159">
        <v>0</v>
      </c>
      <c r="Q48" s="165" t="str">
        <f>IF(OR($B47="Усього",$B47=""),"",IF($S47=0,_XLL.ЧИСТВНДОХ(D$38:D47,B$38:B47,0.2),"Х"))</f>
        <v>Х</v>
      </c>
      <c r="R48" s="166" t="str">
        <f t="shared" si="2"/>
        <v>Х</v>
      </c>
      <c r="S48" s="167">
        <f t="shared" si="3"/>
        <v>4839.823071792931</v>
      </c>
      <c r="T48" s="168">
        <f t="shared" si="4"/>
      </c>
    </row>
    <row r="49" spans="1:20" ht="11.25">
      <c r="A49" s="155">
        <v>12</v>
      </c>
      <c r="B49" s="163">
        <f t="shared" si="0"/>
        <v>44433</v>
      </c>
      <c r="C49" s="164">
        <f t="shared" si="1"/>
        <v>31</v>
      </c>
      <c r="D49" s="158">
        <f>IF($S48=0,SUM(D$39:D48),SUM(E49:P49))</f>
        <v>520.6456244217793</v>
      </c>
      <c r="E49" s="158">
        <f>IF(B49=$O$16,S48,S48*7%)</f>
        <v>338.7876150255052</v>
      </c>
      <c r="F49" s="158">
        <f>IF(OR($B48="Усього",$B48=""),"",IF($S48=0,SUM(F$39:F49),S48*($F$19)*(B49-B48)/(DATE(YEAR(B47)+1,1,1)-DATE(YEAR(B47),1,1))))</f>
        <v>147.9792478937236</v>
      </c>
      <c r="G49" s="158">
        <v>0</v>
      </c>
      <c r="H49" s="158">
        <v>0</v>
      </c>
      <c r="I49" s="158">
        <v>0</v>
      </c>
      <c r="J49" s="158">
        <f>IF(OR($B48="Усього",$B48=""),"",IF($S48=0,SUM(J$38:J48),0))</f>
        <v>0</v>
      </c>
      <c r="K49" s="158">
        <v>0</v>
      </c>
      <c r="L49" s="159">
        <v>0</v>
      </c>
      <c r="M49" s="159">
        <v>0</v>
      </c>
      <c r="N49" s="159">
        <v>0</v>
      </c>
      <c r="O49" s="158">
        <f>S48*O30</f>
        <v>33.87876150255052</v>
      </c>
      <c r="P49" s="159">
        <v>0</v>
      </c>
      <c r="Q49" s="165" t="str">
        <f>IF(OR($B48="Усього",$B48=""),"",IF($S48=0,_XLL.ЧИСТВНДОХ(D$38:D48,B$38:B48,0.2),"Х"))</f>
        <v>Х</v>
      </c>
      <c r="R49" s="166" t="str">
        <f t="shared" si="2"/>
        <v>Х</v>
      </c>
      <c r="S49" s="167">
        <f t="shared" si="3"/>
        <v>4501.035456767426</v>
      </c>
      <c r="T49" s="168">
        <f t="shared" si="4"/>
      </c>
    </row>
    <row r="50" spans="1:20" s="103" customFormat="1" ht="11.25">
      <c r="A50" s="170" t="str">
        <f>IF(DAY($O$14)=1,"","13")</f>
        <v>13</v>
      </c>
      <c r="B50" s="170">
        <f>IF(DAY($O$14)=1,"Усього",O16)</f>
        <v>44460</v>
      </c>
      <c r="C50" s="164">
        <f>IF(DAY($O$14)=1,"",B50-B49)</f>
        <v>27</v>
      </c>
      <c r="D50" s="159">
        <f>IF($S49=0,SUM(D$39:D49),SUM(E50:P50))</f>
        <v>4652.405895758714</v>
      </c>
      <c r="E50" s="159">
        <f>IF($S49=0,SUM($E$39:$E49),S49)</f>
        <v>4501.035456767426</v>
      </c>
      <c r="F50" s="159">
        <f>IF($S49=0,SUM(F$39:F49),S49*($F19)*(B50-B49)/(DATE(YEAR(B48)+1,1,1)-DATE(YEAR(B48),1,1)))</f>
        <v>119.86319079391609</v>
      </c>
      <c r="G50" s="159">
        <f>IF(OR($B49="Усього",$B49=""),"",IF($S49=0,SUM(G$38:G49),0))</f>
        <v>0</v>
      </c>
      <c r="H50" s="159">
        <f>IF(OR($B49="Усього",$B49=""),"",IF($S49=0,SUM(H$38:H49),0))</f>
        <v>0</v>
      </c>
      <c r="I50" s="159">
        <f>IF(OR($B49="Усього",$B49=""),"",IF($S49=0,SUM(I$38:I49),0))</f>
        <v>0</v>
      </c>
      <c r="J50" s="159">
        <f>IF(OR($B49="Усього",$B49=""),"",IF($S49=0,SUM(J$38:J49),0))</f>
        <v>0</v>
      </c>
      <c r="K50" s="159">
        <f>IF(OR($B49="Усього",$B49=""),"",IF($S49=0,SUM(K$38:K49),0))</f>
        <v>0</v>
      </c>
      <c r="L50" s="159">
        <f>IF(OR($B49="Усього",$B49=""),"",IF($S49=0,SUM(L$38:L49),0))</f>
        <v>0</v>
      </c>
      <c r="M50" s="159">
        <f>IF(OR($B49="Усього",$B49=""),"",IF($S49=0,SUM(M$38:M49),0))</f>
        <v>0</v>
      </c>
      <c r="N50" s="159">
        <f>IF(OR($B49="Усього",$B49=""),"",IF($S49=0,SUM(N$38:N49),0))</f>
        <v>0</v>
      </c>
      <c r="O50" s="159">
        <f>IF(OR($B49="Усього",$B49=""),"",IF($S49=0,SUM(O$38:O49),S49*O30))</f>
        <v>31.507248197371982</v>
      </c>
      <c r="P50" s="159">
        <f>IF(OR($B49="Усього",$B49=""),"",IF($S49=0,SUM(P$38:P49),0))</f>
        <v>0</v>
      </c>
      <c r="Q50" s="160" t="str">
        <f>IF(OR($B49="Усього",$B49=""),"",IF($S49=0,_XLL.ЧИСТВНДОХ(D$38:D49,B$38:B49,0.2),"Х"))</f>
        <v>Х</v>
      </c>
      <c r="R50" s="171" t="str">
        <f>IF(DAY($O$14)=1,SUM(E50:P50),"Х")</f>
        <v>Х</v>
      </c>
      <c r="S50" s="172">
        <f t="shared" si="3"/>
        <v>0</v>
      </c>
      <c r="T50" s="173"/>
    </row>
    <row r="51" spans="1:23" s="103" customFormat="1" ht="12" customHeight="1">
      <c r="A51" s="157"/>
      <c r="B51" s="170" t="str">
        <f>IF(DAY($O$14)=1,"","Усього")</f>
        <v>Усього</v>
      </c>
      <c r="C51" s="170"/>
      <c r="D51" s="159">
        <f>IF(DAY($O$14)=1,"",SUM(D39:D50))</f>
        <v>12781.896465244012</v>
      </c>
      <c r="E51" s="159">
        <f>IF(DAY($O$14)=1,"",SUM(E39:E50))</f>
        <v>10000</v>
      </c>
      <c r="F51" s="159">
        <f>IF(DAY($O$14)=1,"",SUM(F39:F50))</f>
        <v>2200.492762723382</v>
      </c>
      <c r="G51" s="159">
        <f aca="true" t="shared" si="6" ref="G51:P51">IF(DAY($O$14)=1,"",SUM(G38:G50))</f>
        <v>0</v>
      </c>
      <c r="H51" s="159">
        <f t="shared" si="6"/>
        <v>0</v>
      </c>
      <c r="I51" s="159">
        <f t="shared" si="6"/>
        <v>0</v>
      </c>
      <c r="J51" s="159">
        <f t="shared" si="6"/>
        <v>400</v>
      </c>
      <c r="K51" s="159">
        <f t="shared" si="6"/>
        <v>0</v>
      </c>
      <c r="L51" s="159">
        <f t="shared" si="6"/>
        <v>0</v>
      </c>
      <c r="M51" s="159">
        <f t="shared" si="6"/>
        <v>0</v>
      </c>
      <c r="N51" s="159">
        <f t="shared" si="6"/>
        <v>0</v>
      </c>
      <c r="O51" s="159">
        <f t="shared" si="6"/>
        <v>581.4037025206294</v>
      </c>
      <c r="P51" s="159">
        <f t="shared" si="6"/>
        <v>0</v>
      </c>
      <c r="Q51" s="160">
        <f>IF(OR($B50="Усього",$B50=""),"",IF($S50=0,_XLL.ЧИСТВНДОХ(D$38:D50,B$38:B50,0.2),"Х"))</f>
        <v>0.5751164257526398</v>
      </c>
      <c r="R51" s="174">
        <f>IF(OR($B50="Усього",$B50=""),"",IF($S50=0,SUM(E51:P51),"Х"))</f>
        <v>13181.89646524401</v>
      </c>
      <c r="S51" s="172">
        <f>IF(OR(B51="Усього",B51=""),"",IF($S50=0,"",IF(DATE(YEAR(B50),MONTH(B50)+1,DAY($O$18))&gt;$O$16,0,S50-E51)))</f>
      </c>
      <c r="T51" s="173">
        <f>IF(AND(B51&lt;=O16,B51&lt;&gt;""),"Невідповідність дат","")</f>
      </c>
      <c r="V51" s="175" t="e">
        <f>IF(DAY(O14)=1,DATE(YEAR(#REF!),MONTH(#REF!),DAY($O$19)),DATE(YEAR(#REF!),MONTH(#REF!)+1,DAY($O$19)))</f>
        <v>#REF!</v>
      </c>
      <c r="W51" s="176">
        <f>DATE(YEAR($O$14)+2,MONTH($O$14),DAY($O$14)-1)</f>
        <v>44825</v>
      </c>
    </row>
    <row r="52" spans="2:21" ht="6.75" customHeight="1">
      <c r="B52" s="95"/>
      <c r="C52" s="95"/>
      <c r="D52" s="95"/>
      <c r="E52" s="95"/>
      <c r="F52" s="99"/>
      <c r="G52" s="99"/>
      <c r="H52" s="99"/>
      <c r="I52" s="99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6:9" s="95" customFormat="1" ht="0.75" customHeight="1" hidden="1">
      <c r="F53" s="177"/>
      <c r="G53" s="177"/>
      <c r="H53" s="177"/>
      <c r="I53" s="99"/>
    </row>
    <row r="54" ht="11.25">
      <c r="E54" s="169"/>
    </row>
    <row r="55" spans="6:9" s="95" customFormat="1" ht="18">
      <c r="F55" s="99"/>
      <c r="G55" s="99"/>
      <c r="H55" s="99"/>
      <c r="I55" s="99"/>
    </row>
    <row r="56" spans="6:9" s="95" customFormat="1" ht="5.25" customHeight="1">
      <c r="F56" s="99"/>
      <c r="G56" s="99"/>
      <c r="H56" s="99"/>
      <c r="I56" s="99"/>
    </row>
    <row r="57" spans="2:9" s="95" customFormat="1" ht="18">
      <c r="B57" s="178"/>
      <c r="F57" s="99"/>
      <c r="G57" s="99"/>
      <c r="H57" s="99"/>
      <c r="I57" s="99"/>
    </row>
    <row r="58" s="95" customFormat="1" ht="10.5" customHeight="1">
      <c r="B58" s="178"/>
    </row>
    <row r="59" spans="6:9" s="95" customFormat="1" ht="18">
      <c r="F59" s="99"/>
      <c r="G59" s="99"/>
      <c r="H59" s="99"/>
      <c r="I59" s="99"/>
    </row>
    <row r="60" spans="6:9" s="95" customFormat="1" ht="18">
      <c r="F60" s="99"/>
      <c r="G60" s="99"/>
      <c r="H60" s="99"/>
      <c r="I60" s="99"/>
    </row>
    <row r="61" spans="6:9" s="95" customFormat="1" ht="18">
      <c r="F61" s="99"/>
      <c r="G61" s="99"/>
      <c r="H61" s="99"/>
      <c r="I61" s="99"/>
    </row>
    <row r="62" spans="6:9" s="95" customFormat="1" ht="18">
      <c r="F62" s="99"/>
      <c r="G62" s="99"/>
      <c r="H62" s="99"/>
      <c r="I62" s="99"/>
    </row>
    <row r="63" spans="6:9" s="95" customFormat="1" ht="18">
      <c r="F63" s="99"/>
      <c r="G63" s="99"/>
      <c r="H63" s="99"/>
      <c r="I63" s="99"/>
    </row>
    <row r="64" spans="6:9" s="95" customFormat="1" ht="18">
      <c r="F64" s="99"/>
      <c r="G64" s="99"/>
      <c r="H64" s="99"/>
      <c r="I64" s="99"/>
    </row>
    <row r="65" spans="6:9" s="95" customFormat="1" ht="18">
      <c r="F65" s="99"/>
      <c r="G65" s="99"/>
      <c r="H65" s="99"/>
      <c r="I65" s="99"/>
    </row>
    <row r="66" spans="4:14" s="95" customFormat="1" ht="11.25" customHeight="1">
      <c r="D66" s="179"/>
      <c r="F66" s="180"/>
      <c r="G66" s="180"/>
      <c r="H66" s="180"/>
      <c r="I66" s="99"/>
      <c r="J66" s="92"/>
      <c r="K66" s="92"/>
      <c r="L66" s="92"/>
      <c r="M66" s="92"/>
      <c r="N66" s="92"/>
    </row>
    <row r="67" spans="6:9" s="95" customFormat="1" ht="5.25" customHeight="1">
      <c r="F67" s="99"/>
      <c r="G67" s="99"/>
      <c r="H67" s="99"/>
      <c r="I67" s="99"/>
    </row>
    <row r="68" spans="6:9" s="95" customFormat="1" ht="18" hidden="1">
      <c r="F68" s="99"/>
      <c r="G68" s="99"/>
      <c r="H68" s="99"/>
      <c r="I68" s="99"/>
    </row>
  </sheetData>
  <sheetProtection password="D54A" sheet="1" objects="1" scenarios="1"/>
  <protectedRanges>
    <protectedRange sqref="B10:H13 I10:N11 J12:J13" name="Диапазон12"/>
    <protectedRange sqref="B24:R25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4:R25" name="Диапазон7"/>
    <protectedRange sqref="F10:H23 I10:N11 I15:N15 I17:N17 I20:N23" name="Диапазон9"/>
    <protectedRange sqref="I2:N9" name="Диапазон11"/>
    <protectedRange sqref="B55:O67" name="Диапазон3_1"/>
    <protectedRange sqref="O14" name="Диапазон2_1_1_1"/>
  </protectedRanges>
  <mergeCells count="44">
    <mergeCell ref="M36:M37"/>
    <mergeCell ref="N36:N37"/>
    <mergeCell ref="O36:O37"/>
    <mergeCell ref="P36:P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E33:E35"/>
    <mergeCell ref="F33:F35"/>
    <mergeCell ref="G33:P33"/>
    <mergeCell ref="G34:J34"/>
    <mergeCell ref="K34:L34"/>
    <mergeCell ref="M34:P34"/>
    <mergeCell ref="B29:N29"/>
    <mergeCell ref="B30:N30"/>
    <mergeCell ref="A31:R31"/>
    <mergeCell ref="A32:A35"/>
    <mergeCell ref="B32:B35"/>
    <mergeCell ref="C32:C35"/>
    <mergeCell ref="D32:D35"/>
    <mergeCell ref="E32:P32"/>
    <mergeCell ref="Q32:Q35"/>
    <mergeCell ref="R32:R35"/>
    <mergeCell ref="J16:L16"/>
    <mergeCell ref="B18:E18"/>
    <mergeCell ref="J18:L18"/>
    <mergeCell ref="J19:L19"/>
    <mergeCell ref="B24:R25"/>
    <mergeCell ref="B28:R28"/>
    <mergeCell ref="B1:P1"/>
    <mergeCell ref="O5:R6"/>
    <mergeCell ref="O7:P9"/>
    <mergeCell ref="J12:L12"/>
    <mergeCell ref="J13:L13"/>
    <mergeCell ref="J14:L14"/>
  </mergeCells>
  <conditionalFormatting sqref="Q29 O29">
    <cfRule type="cellIs" priority="1" dxfId="2" operator="equal" stopIfTrue="1">
      <formula>0</formula>
    </cfRule>
  </conditionalFormatting>
  <dataValidations count="8">
    <dataValidation type="list" allowBlank="1" showInputMessage="1" showErrorMessage="1" sqref="H19">
      <formula1>$U$12:$U$13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  <dataValidation type="list" allowBlank="1" showInputMessage="1" showErrorMessage="1" sqref="F18">
      <formula1>$G$18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F20">
      <formula1>$G$20</formula1>
    </dataValidation>
    <dataValidation type="list" allowBlank="1" showInputMessage="1" showErrorMessage="1" sqref="O18">
      <formula1>$P$18</formula1>
    </dataValidation>
    <dataValidation type="list" allowBlank="1" showInputMessage="1" showErrorMessage="1" sqref="O19">
      <formula1>$Q$18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16"/>
      <c r="P5" s="216"/>
      <c r="Q5" s="216"/>
      <c r="R5" s="216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16"/>
      <c r="P6" s="216"/>
      <c r="Q6" s="216"/>
      <c r="R6" s="216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17"/>
      <c r="P7" s="217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17"/>
      <c r="P8" s="217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17"/>
      <c r="P9" s="217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18" t="str">
        <f>"Початкова сума ліміту овердрафту"</f>
        <v>Початкова сума ліміту овердрафту</v>
      </c>
      <c r="K12" s="218"/>
      <c r="L12" s="218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19" t="str">
        <f>"Максимальний за продуктом ліміт овердрафту"</f>
        <v>Максимальний за продуктом ліміт овердрафту</v>
      </c>
      <c r="K13" s="219"/>
      <c r="L13" s="21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19" t="str">
        <f>"Дата кредитного договору:"</f>
        <v>Дата кредитного договору:</v>
      </c>
      <c r="K14" s="219"/>
      <c r="L14" s="219"/>
      <c r="N14" s="68"/>
      <c r="O14" s="39">
        <f ca="1">TODAY()</f>
        <v>44096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19" t="str">
        <f>"Дата завершення овердрафту:"</f>
        <v>Дата завершення овердрафту:</v>
      </c>
      <c r="K16" s="219"/>
      <c r="L16" s="219"/>
      <c r="N16" s="68"/>
      <c r="O16" s="38">
        <f>IF(DAY($O$14)&gt;25,DATE(YEAR($O$14)+1,MONTH($O$14),DAY(25)),IF(DAY($O$14)=1,DATE(YEAR($O$14)+1,MONTH($O$14-1),DAY(25)),DATE(YEAR($O$14)+1,MONTH($O$14),DAY($O$14)-1)))</f>
        <v>44460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20" t="s">
        <v>8</v>
      </c>
      <c r="C18" s="220"/>
      <c r="D18" s="220"/>
      <c r="E18" s="221"/>
      <c r="F18" s="27">
        <v>0</v>
      </c>
      <c r="G18" s="61"/>
      <c r="H18" s="61"/>
      <c r="J18" s="222" t="s">
        <v>7</v>
      </c>
      <c r="K18" s="222"/>
      <c r="L18" s="222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19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19"/>
      <c r="L19" s="21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23" t="s">
        <v>58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V23" s="7"/>
      <c r="W23" s="7"/>
      <c r="X23" s="2"/>
      <c r="Y23" s="7"/>
      <c r="Z23" s="7"/>
      <c r="AA23" s="7"/>
    </row>
    <row r="24" spans="2:27" ht="18.75" customHeight="1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24" t="s">
        <v>14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</row>
    <row r="28" spans="2:17" ht="11.25" customHeight="1">
      <c r="B28" s="225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58">
        <v>0.04</v>
      </c>
      <c r="P28" s="59"/>
      <c r="Q28" s="58"/>
    </row>
    <row r="29" spans="2:17" ht="24" customHeight="1">
      <c r="B29" s="226" t="s">
        <v>15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60">
        <v>0.007</v>
      </c>
      <c r="P29" s="59"/>
      <c r="Q29" s="60"/>
    </row>
    <row r="30" spans="1:18" ht="17.25" customHeight="1">
      <c r="A30" s="227" t="s">
        <v>55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</row>
    <row r="31" spans="1:20" ht="13.5" customHeight="1">
      <c r="A31" s="228" t="s">
        <v>27</v>
      </c>
      <c r="B31" s="228" t="s">
        <v>33</v>
      </c>
      <c r="C31" s="228" t="s">
        <v>32</v>
      </c>
      <c r="D31" s="231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31" t="s">
        <v>53</v>
      </c>
      <c r="S31" s="5" t="s">
        <v>2</v>
      </c>
      <c r="T31" s="5"/>
    </row>
    <row r="32" spans="1:19" ht="14.25" customHeight="1">
      <c r="A32" s="229"/>
      <c r="B32" s="229"/>
      <c r="C32" s="229"/>
      <c r="D32" s="232"/>
      <c r="E32" s="228" t="s">
        <v>34</v>
      </c>
      <c r="F32" s="231" t="s">
        <v>36</v>
      </c>
      <c r="G32" s="239" t="s">
        <v>56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37"/>
      <c r="R32" s="232"/>
      <c r="S32" s="7"/>
    </row>
    <row r="33" spans="1:19" ht="13.5" customHeight="1">
      <c r="A33" s="229"/>
      <c r="B33" s="229"/>
      <c r="C33" s="229"/>
      <c r="D33" s="232"/>
      <c r="E33" s="229"/>
      <c r="F33" s="232"/>
      <c r="G33" s="241" t="s">
        <v>17</v>
      </c>
      <c r="H33" s="242"/>
      <c r="I33" s="242"/>
      <c r="J33" s="242"/>
      <c r="K33" s="241" t="s">
        <v>19</v>
      </c>
      <c r="L33" s="242"/>
      <c r="M33" s="241" t="s">
        <v>22</v>
      </c>
      <c r="N33" s="242"/>
      <c r="O33" s="242"/>
      <c r="P33" s="242"/>
      <c r="Q33" s="237"/>
      <c r="R33" s="232"/>
      <c r="S33" s="7"/>
    </row>
    <row r="34" spans="1:19" ht="36.75" customHeight="1">
      <c r="A34" s="230"/>
      <c r="B34" s="230"/>
      <c r="C34" s="230"/>
      <c r="D34" s="233"/>
      <c r="E34" s="230"/>
      <c r="F34" s="233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33"/>
      <c r="S34" s="7"/>
    </row>
    <row r="35" spans="1:18" ht="11.25" customHeight="1">
      <c r="A35" s="243">
        <v>1</v>
      </c>
      <c r="B35" s="243" t="s">
        <v>28</v>
      </c>
      <c r="C35" s="245" t="s">
        <v>29</v>
      </c>
      <c r="D35" s="243" t="s">
        <v>30</v>
      </c>
      <c r="E35" s="245" t="s">
        <v>31</v>
      </c>
      <c r="F35" s="243" t="s">
        <v>35</v>
      </c>
      <c r="G35" s="247" t="s">
        <v>26</v>
      </c>
      <c r="H35" s="247" t="s">
        <v>38</v>
      </c>
      <c r="I35" s="247" t="s">
        <v>39</v>
      </c>
      <c r="J35" s="247" t="s">
        <v>40</v>
      </c>
      <c r="K35" s="247" t="s">
        <v>42</v>
      </c>
      <c r="L35" s="247" t="s">
        <v>43</v>
      </c>
      <c r="M35" s="247" t="s">
        <v>44</v>
      </c>
      <c r="N35" s="247" t="s">
        <v>45</v>
      </c>
      <c r="O35" s="247" t="s">
        <v>46</v>
      </c>
      <c r="P35" s="247" t="s">
        <v>47</v>
      </c>
      <c r="Q35" s="11" t="s">
        <v>50</v>
      </c>
      <c r="R35" s="11" t="s">
        <v>51</v>
      </c>
    </row>
    <row r="36" spans="1:18" ht="11.25" customHeight="1">
      <c r="A36" s="244"/>
      <c r="B36" s="244"/>
      <c r="C36" s="246"/>
      <c r="D36" s="244"/>
      <c r="E36" s="246"/>
      <c r="F36" s="244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44096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33</v>
      </c>
      <c r="D38" s="43">
        <f>IF($S37=0,SUM(D37:D$38),SUM(E38:P38))</f>
        <v>799.5081967213116</v>
      </c>
      <c r="E38" s="45">
        <f>-E37*7%</f>
        <v>700.0000000000001</v>
      </c>
      <c r="F38" s="43">
        <f>IF(B38-B37&lt;30,0,(S37*($F$19))*((B38-B37)-30)/(DATE(YEAR(B38)+1,1,1)-DATE(YEAR(B38),1,1)))</f>
        <v>29.508196721311474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997.6081967213116</v>
      </c>
      <c r="E39" s="45">
        <f>S38*7%</f>
        <v>651.0000000000001</v>
      </c>
      <c r="F39" s="45">
        <f>IF(B39-B37&lt;30,0,(S38*($F$19))*((B39-B37)-30)/(DATE(YEAR(B38)+1,1,1)-DATE(YEAR(B38),1,1))-F38)</f>
        <v>281.50819672131144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44460</v>
      </c>
      <c r="C49" s="88">
        <f>IF(DAY($O$14)=1,"",B49-B48)</f>
        <v>27</v>
      </c>
      <c r="D49" s="45">
        <f>IF($S48=0,SUM(D$38:D48),SUM(E49:P49))</f>
        <v>4652.405895758714</v>
      </c>
      <c r="E49" s="45">
        <f>IF($S48=0,SUM($E$38:$E48),S48)</f>
        <v>4501.035456767426</v>
      </c>
      <c r="F49" s="45">
        <f>IF($S48=0,SUM(F$38:F48),S48*($F19)*(B49-B48)/(DATE(YEAR(B47)+1,1,1)-DATE(YEAR(B47),1,1)))</f>
        <v>119.86319079391609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12781.896465244012</v>
      </c>
      <c r="E50" s="45">
        <f>IF(DAY($O$14)=1,"",SUM(E38:E49))</f>
        <v>10000</v>
      </c>
      <c r="F50" s="45">
        <f>IF(DAY($O$14)=1,"",SUM(F38:F49))</f>
        <v>2200.492762723382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0.5751164257526398</v>
      </c>
      <c r="R50" s="85">
        <f>IF(OR($B49="Усього",$B49=""),"",IF($S49=0,SUM(E50:P50),"Х"))</f>
        <v>13181.89646524401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44825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E32:E34"/>
    <mergeCell ref="F32:F34"/>
    <mergeCell ref="G32:P32"/>
    <mergeCell ref="G33:J33"/>
    <mergeCell ref="K33:L33"/>
    <mergeCell ref="M33:P33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J16:L16"/>
    <mergeCell ref="B18:E18"/>
    <mergeCell ref="J18:L18"/>
    <mergeCell ref="J19:L19"/>
    <mergeCell ref="B23:R24"/>
    <mergeCell ref="B27:R27"/>
    <mergeCell ref="B1:P1"/>
    <mergeCell ref="O5:R6"/>
    <mergeCell ref="O7:P9"/>
    <mergeCell ref="J12:L12"/>
    <mergeCell ref="J13:L13"/>
    <mergeCell ref="J14:L14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2020-09-22T12:40:23Z</dcterms:modified>
  <cp:category/>
  <cp:version/>
  <cp:contentType/>
  <cp:contentStatus/>
</cp:coreProperties>
</file>