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Premier-картка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0">'Premier-картка'!#REF!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'Premier-картка'!$B$2:$R$67</definedName>
    <definedName name="_xlnm.Print_Area" localSheetId="1">'Календар (6)'!$B$2:$R$67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<sst xmlns="http://schemas.openxmlformats.org/spreadsheetml/2006/main" count="123" uniqueCount="68">
  <si>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</si>
  <si>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</si>
  <si>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</si>
  <si>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</si>
  <si>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</si>
  <si>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</si>
  <si>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</si>
  <si>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</si>
  <si>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</si>
  <si>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</si>
  <si>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</si>
  <si>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</si>
  <si>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</si>
  <si>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</si>
  <si>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</si>
  <si>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</si>
  <si>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</si>
  <si>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</si>
  <si>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</si>
  <si>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</si>
  <si>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</si>
  <si>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</si>
  <si>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</si>
  <si>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</si>
  <si>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</si>
  <si>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</si>
  <si>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</si>
  <si>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</si>
  <si>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</si>
  <si>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</si>
  <si>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</si>
  <si>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</si>
  <si>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</si>
  <si>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</si>
  <si>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</si>
  <si>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</si>
  <si>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</si>
  <si>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</si>
  <si>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</si>
  <si>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</si>
  <si>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</si>
  <si>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</si>
  <si>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</si>
  <si>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</si>
  <si>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</si>
  <si>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</si>
  <si>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</si>
  <si>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</si>
  <si>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</si>
  <si>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</si>
  <si>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</si>
  <si>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</si>
  <si>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</si>
  <si>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</si>
  <si>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</si>
  <si>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</si>
  <si>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</si>
  <si>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</si>
  <si>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</si>
  <si>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</si>
  <si>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</si>
  <si>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</si>
  <si>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</si>
  <si>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</si>
  <si>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</si>
  <si>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Premier-картка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</si>
  <si>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«Premier-картка» 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</si>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</sst>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2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2" fillId="0" borderId="0" xfId="57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0" fontId="66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84" fontId="15" fillId="0" borderId="13" xfId="0" applyNumberFormat="1" applyFont="1" applyBorder="1" applyAlignment="1" applyProtection="1">
      <alignment horizontal="center"/>
      <protection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center"/>
      <protection/>
    </xf>
    <xf numFmtId="1" fontId="15" fillId="0" borderId="13" xfId="0" applyNumberFormat="1" applyFont="1" applyBorder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/>
      <protection/>
    </xf>
    <xf numFmtId="184" fontId="15" fillId="0" borderId="13" xfId="57" applyNumberFormat="1" applyFont="1" applyBorder="1" applyAlignment="1" applyProtection="1">
      <alignment horizontal="center"/>
      <protection/>
    </xf>
    <xf numFmtId="184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3" fontId="15" fillId="0" borderId="13" xfId="0" applyNumberFormat="1" applyFont="1" applyBorder="1" applyAlignment="1" applyProtection="1">
      <alignment horizontal="left"/>
      <protection/>
    </xf>
    <xf numFmtId="186" fontId="15" fillId="0" borderId="13" xfId="57" applyNumberFormat="1" applyFont="1" applyBorder="1" applyAlignment="1" applyProtection="1">
      <alignment horizontal="center"/>
      <protection/>
    </xf>
    <xf numFmtId="186" fontId="15" fillId="0" borderId="0" xfId="57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9" fontId="15" fillId="0" borderId="13" xfId="57" applyFont="1" applyBorder="1" applyAlignment="1" applyProtection="1">
      <alignment horizontal="center"/>
      <protection/>
    </xf>
    <xf numFmtId="9" fontId="15" fillId="0" borderId="0" xfId="57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8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vertical="top" wrapText="1"/>
      <protection/>
    </xf>
    <xf numFmtId="10" fontId="15" fillId="0" borderId="0" xfId="0" applyNumberFormat="1" applyFont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2" xfId="0" applyNumberFormat="1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4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0" fontId="15" fillId="0" borderId="10" xfId="57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15" fillId="0" borderId="10" xfId="0" applyNumberFormat="1" applyFont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10" fontId="15" fillId="0" borderId="10" xfId="57" applyNumberFormat="1" applyFont="1" applyBorder="1" applyAlignment="1" applyProtection="1">
      <alignment horizontal="center"/>
      <protection/>
    </xf>
    <xf numFmtId="4" fontId="15" fillId="0" borderId="10" xfId="0" applyNumberFormat="1" applyFont="1" applyBorder="1" applyAlignment="1" applyProtection="1">
      <alignment horizontal="center"/>
      <protection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3" fontId="15" fillId="0" borderId="10" xfId="60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left" wrapText="1"/>
      <protection/>
    </xf>
    <xf numFmtId="14" fontId="3" fillId="0" borderId="13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4" fontId="15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4" fontId="15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185" fontId="3" fillId="0" borderId="0" xfId="0" applyNumberFormat="1" applyFont="1" applyFill="1" applyBorder="1" applyAlignment="1" applyProtection="1">
      <alignment horizontal="right"/>
      <protection/>
    </xf>
    <xf numFmtId="184" fontId="3" fillId="0" borderId="0" xfId="57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5" fontId="15" fillId="0" borderId="0" xfId="0" applyNumberFormat="1" applyFont="1" applyFill="1" applyBorder="1" applyAlignment="1" applyProtection="1">
      <alignment horizontal="right"/>
      <protection/>
    </xf>
    <xf numFmtId="184" fontId="62" fillId="0" borderId="0" xfId="57" applyNumberFormat="1" applyFont="1" applyFill="1" applyAlignment="1" applyProtection="1">
      <alignment/>
      <protection/>
    </xf>
    <xf numFmtId="4" fontId="62" fillId="0" borderId="0" xfId="0" applyNumberFormat="1" applyFont="1" applyFill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10" fontId="15" fillId="0" borderId="0" xfId="0" applyNumberFormat="1" applyFont="1" applyFill="1" applyBorder="1" applyAlignment="1" applyProtection="1">
      <alignment horizontal="left"/>
      <protection/>
    </xf>
    <xf numFmtId="184" fontId="69" fillId="0" borderId="0" xfId="0" applyNumberFormat="1" applyFont="1" applyBorder="1" applyAlignment="1" applyProtection="1">
      <alignment horizontal="center"/>
      <protection/>
    </xf>
    <xf numFmtId="184" fontId="69" fillId="0" borderId="0" xfId="57" applyNumberFormat="1" applyFont="1" applyBorder="1" applyAlignment="1" applyProtection="1">
      <alignment horizontal="center"/>
      <protection/>
    </xf>
    <xf numFmtId="186" fontId="69" fillId="0" borderId="0" xfId="57" applyNumberFormat="1" applyFont="1" applyBorder="1" applyAlignment="1" applyProtection="1">
      <alignment horizontal="center"/>
      <protection/>
    </xf>
    <xf numFmtId="49" fontId="15" fillId="0" borderId="16" xfId="0" applyNumberFormat="1" applyFont="1" applyBorder="1" applyAlignment="1" applyProtection="1">
      <alignment horizontal="center" vertical="center"/>
      <protection/>
    </xf>
    <xf numFmtId="49" fontId="15" fillId="0" borderId="17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8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wrapText="1"/>
      <protection/>
    </xf>
    <xf numFmtId="0" fontId="15" fillId="0" borderId="22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5</xdr:col>
      <xdr:colOff>381000</xdr:colOff>
      <xdr:row>8</xdr:row>
      <xdr:rowOff>28575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209925" cy="723900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A67"/>
  <sheetViews>
    <sheetView showGridLines="0" tabSelected="1" zoomScale="115" zoomScaleNormal="115" zoomScaleSheetLayoutView="97" workbookViewId="0" topLeftCell="A2">
      <selection activeCell="F50" sqref="F50:P50"/>
    </sheetView>
  </sheetViews>
  <sheetFormatPr defaultColWidth="9.00390625" defaultRowHeight="12.75"/>
  <cols>
    <col min="1" max="1" width="3.375" style="91" customWidth="1"/>
    <col min="2" max="2" width="11.00390625" style="91" customWidth="1"/>
    <col min="3" max="3" width="7.75390625" style="91" hidden="1" customWidth="1"/>
    <col min="4" max="4" width="13.25390625" style="91" customWidth="1"/>
    <col min="5" max="5" width="10.125" style="91" customWidth="1"/>
    <col min="6" max="6" width="11.875" style="98" customWidth="1"/>
    <col min="7" max="7" width="12.00390625" style="98" customWidth="1"/>
    <col min="8" max="8" width="9.25390625" style="98" customWidth="1"/>
    <col min="9" max="9" width="12.00390625" style="98" customWidth="1"/>
    <col min="10" max="10" width="16.875" style="91" customWidth="1"/>
    <col min="11" max="11" width="8.25390625" style="91" customWidth="1"/>
    <col min="12" max="12" width="11.125" style="91" customWidth="1"/>
    <col min="13" max="13" width="7.875" style="91" customWidth="1"/>
    <col min="14" max="14" width="8.25390625" style="91" customWidth="1"/>
    <col min="15" max="15" width="10.625" style="91" customWidth="1"/>
    <col min="16" max="16" width="8.25390625" style="91" customWidth="1"/>
    <col min="17" max="17" width="10.125" style="91" customWidth="1"/>
    <col min="18" max="18" width="11.875" style="91" customWidth="1"/>
    <col min="19" max="19" width="11.875" style="91" hidden="1" customWidth="1"/>
    <col min="20" max="20" width="1.875" style="91" bestFit="1" customWidth="1"/>
    <col min="21" max="21" width="9.125" style="91" customWidth="1"/>
    <col min="22" max="23" width="9.125" style="91" hidden="1" customWidth="1"/>
    <col min="24" max="16384" width="9.125" style="91" customWidth="1"/>
  </cols>
  <sheetData>
    <row r="1" spans="2:17" ht="39" customHeight="1" hidden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0"/>
    </row>
    <row r="2" spans="2:18" ht="16.5" customHeight="1">
      <c r="B2" s="91">
        <v>1</v>
      </c>
      <c r="D2" s="91">
        <v>1</v>
      </c>
      <c r="E2" s="91">
        <v>2</v>
      </c>
      <c r="F2" s="98">
        <v>1</v>
      </c>
      <c r="H2" s="93"/>
      <c r="I2" s="93">
        <v>1</v>
      </c>
      <c r="J2" s="92">
        <v>1</v>
      </c>
      <c r="K2" s="92"/>
      <c r="L2" s="92"/>
      <c r="O2" s="94"/>
      <c r="P2" s="94"/>
      <c r="R2" s="94"/>
    </row>
    <row r="3" spans="2:18" ht="22.5" customHeight="1">
      <c r="B3" s="91" t="s">
        <v>65</v>
      </c>
      <c r="D3" s="91" t="str">
        <f>"гривня"</f>
        <v>гривня</v>
      </c>
      <c r="E3" s="91" t="str">
        <f>"Торговий POS-термінал"</f>
        <v>Торговий POS-термінал</v>
      </c>
      <c r="F3" s="98" t="s">
        <v>4</v>
      </c>
      <c r="H3" s="93"/>
      <c r="I3" s="95" t="str">
        <f>"ДОМОВИЧОК"</f>
        <v>ДОМОВИЧОК</v>
      </c>
      <c r="J3" s="92" t="str">
        <f>"в кінці строку"</f>
        <v>в кінці строку</v>
      </c>
      <c r="K3" s="92"/>
      <c r="L3" s="92"/>
      <c r="R3" s="94"/>
    </row>
    <row r="4" spans="8:18" ht="6" customHeight="1">
      <c r="H4" s="93"/>
      <c r="I4" s="95"/>
      <c r="J4" s="92" t="str">
        <f>"щомісячна очікувана сума"</f>
        <v>щомісячна очікувана сума</v>
      </c>
      <c r="K4" s="92"/>
      <c r="L4" s="92"/>
      <c r="O4" s="212"/>
      <c r="P4" s="212"/>
      <c r="Q4" s="212"/>
      <c r="R4" s="212"/>
    </row>
    <row r="5" spans="2:18" ht="6" customHeight="1">
      <c r="B5" s="92"/>
      <c r="C5" s="92"/>
      <c r="D5" s="92"/>
      <c r="E5" s="92"/>
      <c r="F5" s="93"/>
      <c r="G5" s="93"/>
      <c r="H5" s="93"/>
      <c r="I5" s="93"/>
      <c r="J5" s="92"/>
      <c r="K5" s="92"/>
      <c r="L5" s="92"/>
      <c r="O5" s="212"/>
      <c r="P5" s="212"/>
      <c r="Q5" s="212"/>
      <c r="R5" s="212"/>
    </row>
    <row r="6" spans="15:17" ht="6" customHeight="1" hidden="1">
      <c r="O6" s="213"/>
      <c r="P6" s="213"/>
      <c r="Q6" s="96"/>
    </row>
    <row r="7" spans="15:17" ht="6" customHeight="1" hidden="1">
      <c r="O7" s="213"/>
      <c r="P7" s="213"/>
      <c r="Q7" s="96"/>
    </row>
    <row r="8" spans="15:24" ht="6" customHeight="1">
      <c r="O8" s="213"/>
      <c r="P8" s="213"/>
      <c r="Q8" s="96"/>
      <c r="R8" s="92"/>
      <c r="S8" s="92"/>
      <c r="T8" s="92"/>
      <c r="U8" s="92"/>
      <c r="V8" s="92"/>
      <c r="W8" s="92"/>
      <c r="X8" s="92"/>
    </row>
    <row r="9" spans="2:24" ht="12">
      <c r="B9" s="97" t="str">
        <f>"Параметри кредитної програми"</f>
        <v>Параметри кредитної програми</v>
      </c>
      <c r="C9" s="97"/>
      <c r="K9" s="99"/>
      <c r="L9" s="99"/>
      <c r="M9" s="99"/>
      <c r="N9" s="99"/>
      <c r="R9" s="92" t="str">
        <f ca="1">"Курс НБУ на "&amp;TEXT(NOW(),"ДД.ММ.ГГГГ")&amp;" р."</f>
        <v>Курс НБУ на ДД.ММ.ГГГГ р.</v>
      </c>
      <c r="S9" s="92"/>
      <c r="T9" s="92"/>
      <c r="U9" s="92"/>
      <c r="V9" s="92"/>
      <c r="W9" s="92"/>
      <c r="X9" s="92"/>
    </row>
    <row r="10" spans="11:24" ht="3.75" customHeight="1">
      <c r="K10" s="99"/>
      <c r="L10" s="99"/>
      <c r="M10" s="99"/>
      <c r="N10" s="99"/>
      <c r="V10" s="92"/>
      <c r="W10" s="92"/>
      <c r="X10" s="92"/>
    </row>
    <row r="11" spans="2:24" ht="12.75" customHeight="1">
      <c r="B11" s="91" t="str">
        <f>"Програма кредитування:"</f>
        <v>Програма кредитування:</v>
      </c>
      <c r="J11" s="214" t="str">
        <f>"Початкова сума ліміту овердрафту"</f>
        <v>Початкова сума ліміту овердрафту</v>
      </c>
      <c r="K11" s="214"/>
      <c r="L11" s="214"/>
      <c r="N11" s="157"/>
      <c r="O11" s="176">
        <v>100000</v>
      </c>
      <c r="P11" s="148" t="s">
        <v>61</v>
      </c>
      <c r="Q11" s="148"/>
      <c r="R11" s="163"/>
      <c r="S11" s="148"/>
      <c r="T11" s="148"/>
      <c r="U11" s="164"/>
      <c r="V11" s="147"/>
      <c r="W11" s="147"/>
      <c r="X11" s="147"/>
    </row>
    <row r="12" spans="10:24" ht="12.75" customHeight="1">
      <c r="J12" s="204" t="str">
        <f>"Максимальний за продуктом ліміт овердрафту"</f>
        <v>Максимальний за продуктом ліміт овердрафту</v>
      </c>
      <c r="K12" s="204"/>
      <c r="L12" s="204"/>
      <c r="N12" s="100"/>
      <c r="O12" s="56">
        <v>300000</v>
      </c>
      <c r="P12" s="148"/>
      <c r="Q12" s="148"/>
      <c r="R12" s="165"/>
      <c r="S12" s="148"/>
      <c r="T12" s="148"/>
      <c r="U12" s="169">
        <v>0.42</v>
      </c>
      <c r="V12" s="147"/>
      <c r="W12" s="147"/>
      <c r="X12" s="147"/>
    </row>
    <row r="13" spans="2:24" ht="12.75" customHeight="1">
      <c r="B13" s="91" t="str">
        <f>"Валюта овердрафту:"</f>
        <v>Валюта овердрафту:</v>
      </c>
      <c r="J13" s="204" t="str">
        <f>"Дата кредитного договору:"</f>
        <v>Дата кредитного договору:</v>
      </c>
      <c r="K13" s="204"/>
      <c r="L13" s="204"/>
      <c r="N13" s="100"/>
      <c r="O13" s="39">
        <f ca="1">TODAY()</f>
        <v>44092</v>
      </c>
      <c r="P13" s="148"/>
      <c r="Q13" s="148"/>
      <c r="R13" s="163"/>
      <c r="S13" s="148"/>
      <c r="T13" s="148"/>
      <c r="U13" s="170"/>
      <c r="V13" s="147"/>
      <c r="W13" s="147"/>
      <c r="X13" s="147"/>
    </row>
    <row r="14" spans="10:24" ht="11.25" customHeight="1" hidden="1">
      <c r="J14" s="98"/>
      <c r="K14" s="100"/>
      <c r="L14" s="100"/>
      <c r="M14" s="100"/>
      <c r="N14" s="100"/>
      <c r="O14" s="101"/>
      <c r="P14" s="148"/>
      <c r="Q14" s="148"/>
      <c r="R14" s="165"/>
      <c r="S14" s="148"/>
      <c r="T14" s="148"/>
      <c r="U14" s="148"/>
      <c r="V14" s="147"/>
      <c r="W14" s="147"/>
      <c r="X14" s="147"/>
    </row>
    <row r="15" spans="2:24" ht="12.75" customHeight="1">
      <c r="B15" s="102"/>
      <c r="C15" s="102"/>
      <c r="D15" s="102"/>
      <c r="E15" s="102"/>
      <c r="F15" s="103"/>
      <c r="G15" s="103"/>
      <c r="H15" s="103"/>
      <c r="J15" s="204" t="str">
        <f>"Дата завершення овердрафту:"</f>
        <v>Дата завершення овердрафту:</v>
      </c>
      <c r="K15" s="204"/>
      <c r="L15" s="204"/>
      <c r="N15" s="100"/>
      <c r="O15" s="38">
        <f>IF(DAY($O$13)&gt;25,DATE(YEAR($O$13)+1,MONTH($O$13),DAY(25)),IF(DAY($O$13)=1,DATE(YEAR($O$13)+1,MONTH($O$13-1),DAY(25)),DATE(YEAR($O$13)+1,MONTH($O$13),DAY($O$13)-1)))</f>
        <v>44456</v>
      </c>
      <c r="P15" s="148"/>
      <c r="Q15" s="148"/>
      <c r="R15" s="165"/>
      <c r="S15" s="148"/>
      <c r="T15" s="148"/>
      <c r="U15" s="148"/>
      <c r="V15" s="148"/>
      <c r="W15" s="148"/>
      <c r="X15" s="148"/>
    </row>
    <row r="16" spans="10:24" ht="3.75" customHeight="1" hidden="1">
      <c r="J16" s="98"/>
      <c r="K16" s="100"/>
      <c r="L16" s="100"/>
      <c r="M16" s="100"/>
      <c r="N16" s="100"/>
      <c r="O16" s="101"/>
      <c r="P16" s="148"/>
      <c r="Q16" s="148"/>
      <c r="R16" s="165"/>
      <c r="S16" s="148"/>
      <c r="T16" s="148"/>
      <c r="U16" s="148"/>
      <c r="V16" s="148"/>
      <c r="W16" s="148"/>
      <c r="X16" s="148"/>
    </row>
    <row r="17" spans="1:24" ht="21.75" customHeight="1">
      <c r="A17" s="104"/>
      <c r="B17" s="205" t="s">
        <v>8</v>
      </c>
      <c r="C17" s="205"/>
      <c r="D17" s="205"/>
      <c r="E17" s="206"/>
      <c r="F17" s="105">
        <v>0</v>
      </c>
      <c r="G17" s="178">
        <v>0</v>
      </c>
      <c r="H17" s="106"/>
      <c r="I17" s="107"/>
      <c r="J17" s="207" t="s">
        <v>7</v>
      </c>
      <c r="K17" s="207"/>
      <c r="L17" s="207"/>
      <c r="M17" s="104"/>
      <c r="N17" s="108"/>
      <c r="O17" s="109">
        <v>12</v>
      </c>
      <c r="P17" s="171">
        <v>12</v>
      </c>
      <c r="Q17" s="171">
        <v>25</v>
      </c>
      <c r="R17" s="166"/>
      <c r="S17" s="167"/>
      <c r="T17" s="167"/>
      <c r="U17" s="148"/>
      <c r="V17" s="148"/>
      <c r="W17" s="148"/>
      <c r="X17" s="148"/>
    </row>
    <row r="18" spans="1:24" ht="12.75" customHeight="1">
      <c r="A18" s="104"/>
      <c r="B18" s="104" t="str">
        <f>"Процента ставка за кредитом"</f>
        <v>Процента ставка за кредитом</v>
      </c>
      <c r="C18" s="104"/>
      <c r="D18" s="104"/>
      <c r="E18" s="104"/>
      <c r="F18" s="111">
        <v>0.42</v>
      </c>
      <c r="G18" s="179">
        <v>0.42</v>
      </c>
      <c r="H18" s="112"/>
      <c r="I18" s="107"/>
      <c r="J18" s="208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208"/>
      <c r="L18" s="208"/>
      <c r="M18" s="104"/>
      <c r="N18" s="113"/>
      <c r="O18" s="114">
        <v>25</v>
      </c>
      <c r="P18" s="167" t="str">
        <f>"числа кожного місяця"</f>
        <v>числа кожного місяця</v>
      </c>
      <c r="Q18" s="167"/>
      <c r="R18" s="168"/>
      <c r="S18" s="167"/>
      <c r="T18" s="167"/>
      <c r="U18" s="148"/>
      <c r="V18" s="148"/>
      <c r="W18" s="148"/>
      <c r="X18" s="148"/>
    </row>
    <row r="19" spans="1:24" ht="11.25" customHeight="1">
      <c r="A19" s="104"/>
      <c r="B19" s="104" t="s">
        <v>13</v>
      </c>
      <c r="C19" s="104"/>
      <c r="D19" s="104"/>
      <c r="E19" s="104"/>
      <c r="F19" s="115">
        <v>1E-06</v>
      </c>
      <c r="G19" s="180">
        <v>1E-06</v>
      </c>
      <c r="H19" s="116"/>
      <c r="I19" s="107"/>
      <c r="J19" s="104"/>
      <c r="K19" s="117"/>
      <c r="L19" s="117"/>
      <c r="M19" s="117"/>
      <c r="N19" s="117"/>
      <c r="O19" s="104"/>
      <c r="P19" s="167"/>
      <c r="Q19" s="167"/>
      <c r="R19" s="166"/>
      <c r="S19" s="167"/>
      <c r="T19" s="167"/>
      <c r="U19" s="148"/>
      <c r="V19" s="148"/>
      <c r="W19" s="148"/>
      <c r="X19" s="148"/>
    </row>
    <row r="20" spans="1:24" ht="12" customHeight="1">
      <c r="A20" s="104"/>
      <c r="B20" s="104" t="str">
        <f>"Метод розрахунку процентів"</f>
        <v>Метод розрахунку процентів</v>
      </c>
      <c r="C20" s="104"/>
      <c r="D20" s="104"/>
      <c r="E20" s="104"/>
      <c r="F20" s="118" t="str">
        <f>"факт/факт"</f>
        <v>факт/факт</v>
      </c>
      <c r="G20" s="119"/>
      <c r="H20" s="119"/>
      <c r="I20" s="107"/>
      <c r="J20" s="173" t="s">
        <v>62</v>
      </c>
      <c r="K20" s="173"/>
      <c r="L20" s="173"/>
      <c r="M20" s="172"/>
      <c r="N20" s="172"/>
      <c r="O20" s="175">
        <f>IF(DAY($O$13)=1,R49,R50)</f>
        <v>129892.12986395655</v>
      </c>
      <c r="P20" s="148" t="s">
        <v>61</v>
      </c>
      <c r="Q20" s="167"/>
      <c r="R20" s="168"/>
      <c r="S20" s="167"/>
      <c r="T20" s="167"/>
      <c r="U20" s="148"/>
      <c r="V20" s="148"/>
      <c r="W20" s="148"/>
      <c r="X20" s="148"/>
    </row>
    <row r="21" spans="1:24" ht="12" customHeight="1">
      <c r="A21" s="104"/>
      <c r="B21" s="104"/>
      <c r="C21" s="104"/>
      <c r="D21" s="104"/>
      <c r="E21" s="104"/>
      <c r="F21" s="119"/>
      <c r="G21" s="119"/>
      <c r="H21" s="119"/>
      <c r="I21" s="107"/>
      <c r="J21" s="173" t="s">
        <v>67</v>
      </c>
      <c r="K21" s="173"/>
      <c r="L21" s="173"/>
      <c r="M21" s="172"/>
      <c r="N21" s="172"/>
      <c r="O21" s="175">
        <f>O20-O11</f>
        <v>29892.12986395655</v>
      </c>
      <c r="P21" s="148" t="s">
        <v>61</v>
      </c>
      <c r="Q21" s="167"/>
      <c r="R21" s="168"/>
      <c r="S21" s="167"/>
      <c r="T21" s="167"/>
      <c r="U21" s="148"/>
      <c r="V21" s="148"/>
      <c r="W21" s="148"/>
      <c r="X21" s="148"/>
    </row>
    <row r="22" spans="1:24" ht="20.25" customHeight="1">
      <c r="A22" s="104"/>
      <c r="B22" s="10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04"/>
      <c r="D22" s="104"/>
      <c r="E22" s="104"/>
      <c r="F22" s="107"/>
      <c r="G22" s="107"/>
      <c r="H22" s="107"/>
      <c r="I22" s="107"/>
      <c r="J22" s="173" t="s">
        <v>63</v>
      </c>
      <c r="K22" s="174"/>
      <c r="L22" s="174"/>
      <c r="M22" s="117"/>
      <c r="N22" s="117"/>
      <c r="O22" s="175">
        <f>IF(DAY($O$13)=1,Q49*100,Q50*100)</f>
        <v>52.62165606021881</v>
      </c>
      <c r="P22" s="148" t="s">
        <v>64</v>
      </c>
      <c r="Q22" s="167"/>
      <c r="R22" s="167"/>
      <c r="S22" s="167"/>
      <c r="T22" s="167"/>
      <c r="U22" s="148"/>
      <c r="V22" s="148"/>
      <c r="W22" s="148"/>
      <c r="X22" s="148"/>
    </row>
    <row r="23" spans="1:27" ht="9" customHeight="1">
      <c r="A23" s="104"/>
      <c r="B23" s="209" t="s">
        <v>66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104"/>
      <c r="T23" s="104"/>
      <c r="V23" s="99"/>
      <c r="W23" s="99"/>
      <c r="X23" s="121"/>
      <c r="Y23" s="99"/>
      <c r="Z23" s="99"/>
      <c r="AA23" s="99"/>
    </row>
    <row r="24" spans="1:27" ht="11.25" customHeight="1">
      <c r="A24" s="104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04"/>
      <c r="T24" s="104"/>
      <c r="V24" s="99"/>
      <c r="W24" s="99"/>
      <c r="X24" s="121"/>
      <c r="Y24" s="99"/>
      <c r="Z24" s="99"/>
      <c r="AA24" s="99"/>
    </row>
    <row r="25" spans="1:27" ht="9.75" customHeight="1">
      <c r="A25" s="104"/>
      <c r="B25" s="104" t="s">
        <v>9</v>
      </c>
      <c r="C25" s="104"/>
      <c r="D25" s="104"/>
      <c r="E25" s="104"/>
      <c r="F25" s="120"/>
      <c r="G25" s="120"/>
      <c r="H25" s="120"/>
      <c r="I25" s="120"/>
      <c r="J25" s="104"/>
      <c r="K25" s="104"/>
      <c r="L25" s="104"/>
      <c r="M25" s="104"/>
      <c r="N25" s="104"/>
      <c r="O25" s="104"/>
      <c r="P25" s="104"/>
      <c r="Q25" s="104"/>
      <c r="R25" s="110"/>
      <c r="S25" s="104"/>
      <c r="T25" s="104"/>
      <c r="V25" s="99"/>
      <c r="W25" s="99"/>
      <c r="X25" s="99"/>
      <c r="Y25" s="99"/>
      <c r="Z25" s="99"/>
      <c r="AA25" s="99"/>
    </row>
    <row r="26" spans="1:20" ht="11.25">
      <c r="A26" s="104"/>
      <c r="B26" s="104" t="s">
        <v>12</v>
      </c>
      <c r="C26" s="104"/>
      <c r="D26" s="104"/>
      <c r="E26" s="104"/>
      <c r="F26" s="120"/>
      <c r="G26" s="120"/>
      <c r="H26" s="120"/>
      <c r="I26" s="12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</row>
    <row r="27" spans="1:20" ht="21.75" customHeight="1">
      <c r="A27" s="104"/>
      <c r="B27" s="210" t="s">
        <v>14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104"/>
      <c r="T27" s="104"/>
    </row>
    <row r="28" spans="1:20" ht="11.25" customHeight="1">
      <c r="A28" s="104"/>
      <c r="B28" s="199" t="str">
        <f>IF(F18=25%,"","Комісія за видачу готівкових кредитних коштів в установах та банкоматах  АБ  УКРГАЗБАНК від суми видачі готівки, якщо сума перевищує 1001 грн.")</f>
        <v>Комісія за видачу готівкових кредитних коштів в установах та банкоматах  АБ  УКРГАЗБАНК від суми видачі готівки, якщо сума перевищує 1001 грн.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77">
        <v>0.04</v>
      </c>
      <c r="P28" s="123"/>
      <c r="Q28" s="122"/>
      <c r="R28" s="104"/>
      <c r="S28" s="104"/>
      <c r="T28" s="104"/>
    </row>
    <row r="29" spans="1:20" ht="24" customHeight="1">
      <c r="A29" s="104"/>
      <c r="B29" s="199" t="s">
        <v>15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24">
        <v>0</v>
      </c>
      <c r="P29" s="123"/>
      <c r="Q29" s="124"/>
      <c r="R29" s="104"/>
      <c r="S29" s="104"/>
      <c r="T29" s="104"/>
    </row>
    <row r="30" spans="1:20" ht="17.25" customHeight="1">
      <c r="A30" s="200" t="s">
        <v>55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104"/>
      <c r="T30" s="104"/>
    </row>
    <row r="31" spans="1:20" ht="13.5" customHeight="1">
      <c r="A31" s="187" t="s">
        <v>27</v>
      </c>
      <c r="B31" s="187" t="s">
        <v>33</v>
      </c>
      <c r="C31" s="187" t="s">
        <v>32</v>
      </c>
      <c r="D31" s="190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197" t="s">
        <v>37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01" t="s">
        <v>52</v>
      </c>
      <c r="R31" s="190" t="s">
        <v>53</v>
      </c>
      <c r="S31" s="158" t="s">
        <v>2</v>
      </c>
      <c r="T31" s="158"/>
    </row>
    <row r="32" spans="1:20" ht="14.25" customHeight="1">
      <c r="A32" s="188"/>
      <c r="B32" s="188"/>
      <c r="C32" s="188"/>
      <c r="D32" s="191"/>
      <c r="E32" s="187" t="s">
        <v>34</v>
      </c>
      <c r="F32" s="190" t="s">
        <v>36</v>
      </c>
      <c r="G32" s="193" t="s">
        <v>56</v>
      </c>
      <c r="H32" s="194"/>
      <c r="I32" s="194"/>
      <c r="J32" s="194"/>
      <c r="K32" s="194"/>
      <c r="L32" s="194"/>
      <c r="M32" s="194"/>
      <c r="N32" s="194"/>
      <c r="O32" s="194"/>
      <c r="P32" s="194"/>
      <c r="Q32" s="202"/>
      <c r="R32" s="191"/>
      <c r="S32" s="117"/>
      <c r="T32" s="104"/>
    </row>
    <row r="33" spans="1:20" ht="21" customHeight="1">
      <c r="A33" s="188"/>
      <c r="B33" s="188"/>
      <c r="C33" s="188"/>
      <c r="D33" s="191"/>
      <c r="E33" s="188"/>
      <c r="F33" s="191"/>
      <c r="G33" s="195" t="s">
        <v>17</v>
      </c>
      <c r="H33" s="196"/>
      <c r="I33" s="196"/>
      <c r="J33" s="196"/>
      <c r="K33" s="197" t="s">
        <v>19</v>
      </c>
      <c r="L33" s="198"/>
      <c r="M33" s="195" t="s">
        <v>22</v>
      </c>
      <c r="N33" s="196"/>
      <c r="O33" s="196"/>
      <c r="P33" s="196"/>
      <c r="Q33" s="202"/>
      <c r="R33" s="191"/>
      <c r="S33" s="117"/>
      <c r="T33" s="104"/>
    </row>
    <row r="34" spans="1:20" ht="56.25" customHeight="1">
      <c r="A34" s="189"/>
      <c r="B34" s="189"/>
      <c r="C34" s="189"/>
      <c r="D34" s="192"/>
      <c r="E34" s="189"/>
      <c r="F34" s="192"/>
      <c r="G34" s="125" t="s">
        <v>18</v>
      </c>
      <c r="H34" s="126" t="s">
        <v>59</v>
      </c>
      <c r="I34" s="125" t="s">
        <v>60</v>
      </c>
      <c r="J34" s="127" t="s">
        <v>41</v>
      </c>
      <c r="K34" s="128" t="s">
        <v>20</v>
      </c>
      <c r="L34" s="128" t="s">
        <v>21</v>
      </c>
      <c r="M34" s="129" t="s">
        <v>23</v>
      </c>
      <c r="N34" s="129" t="s">
        <v>24</v>
      </c>
      <c r="O34" s="129" t="s">
        <v>25</v>
      </c>
      <c r="P34" s="130" t="s">
        <v>48</v>
      </c>
      <c r="Q34" s="203"/>
      <c r="R34" s="192"/>
      <c r="S34" s="117"/>
      <c r="T34" s="104"/>
    </row>
    <row r="35" spans="1:20" ht="11.25" customHeight="1">
      <c r="A35" s="183">
        <v>1</v>
      </c>
      <c r="B35" s="183" t="s">
        <v>28</v>
      </c>
      <c r="C35" s="185" t="s">
        <v>29</v>
      </c>
      <c r="D35" s="183" t="s">
        <v>30</v>
      </c>
      <c r="E35" s="185" t="s">
        <v>31</v>
      </c>
      <c r="F35" s="183" t="s">
        <v>35</v>
      </c>
      <c r="G35" s="181" t="s">
        <v>26</v>
      </c>
      <c r="H35" s="181" t="s">
        <v>38</v>
      </c>
      <c r="I35" s="181" t="s">
        <v>39</v>
      </c>
      <c r="J35" s="181" t="s">
        <v>40</v>
      </c>
      <c r="K35" s="181" t="s">
        <v>42</v>
      </c>
      <c r="L35" s="181" t="s">
        <v>43</v>
      </c>
      <c r="M35" s="181" t="s">
        <v>44</v>
      </c>
      <c r="N35" s="181" t="s">
        <v>45</v>
      </c>
      <c r="O35" s="181" t="s">
        <v>46</v>
      </c>
      <c r="P35" s="181" t="s">
        <v>47</v>
      </c>
      <c r="Q35" s="131" t="s">
        <v>50</v>
      </c>
      <c r="R35" s="131" t="s">
        <v>51</v>
      </c>
      <c r="S35" s="104"/>
      <c r="T35" s="104"/>
    </row>
    <row r="36" spans="1:20" ht="11.25" customHeight="1">
      <c r="A36" s="184"/>
      <c r="B36" s="184"/>
      <c r="C36" s="186"/>
      <c r="D36" s="184"/>
      <c r="E36" s="186"/>
      <c r="F36" s="18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32"/>
      <c r="R36" s="132"/>
      <c r="S36" s="104"/>
      <c r="T36" s="104"/>
    </row>
    <row r="37" spans="1:20" s="140" customFormat="1" ht="13.5" customHeight="1">
      <c r="A37" s="133">
        <v>1</v>
      </c>
      <c r="B37" s="134">
        <f>DATE(YEAR($O$13),MONTH($O$13),DAY($O$13))</f>
        <v>44092</v>
      </c>
      <c r="C37" s="135" t="s">
        <v>1</v>
      </c>
      <c r="D37" s="136">
        <f>E37+SUM(G37:P37)</f>
        <v>-96000</v>
      </c>
      <c r="E37" s="137">
        <f>-O11</f>
        <v>-100000</v>
      </c>
      <c r="F37" s="133" t="s">
        <v>1</v>
      </c>
      <c r="G37" s="136">
        <v>0</v>
      </c>
      <c r="H37" s="136">
        <v>0</v>
      </c>
      <c r="I37" s="136">
        <v>0</v>
      </c>
      <c r="J37" s="137">
        <f>IF($B$2=1,$O$11*$O$28,0)</f>
        <v>4000</v>
      </c>
      <c r="K37" s="136">
        <v>0</v>
      </c>
      <c r="L37" s="137">
        <v>0</v>
      </c>
      <c r="M37" s="137">
        <v>0</v>
      </c>
      <c r="N37" s="137">
        <v>0</v>
      </c>
      <c r="O37" s="136" t="s">
        <v>16</v>
      </c>
      <c r="P37" s="137">
        <v>0</v>
      </c>
      <c r="Q37" s="138" t="str">
        <f>IF(OR($B48="Усього",$B48=""),"",IF($S37=0,_XLL.ЧИСТВНДОХ(D36:D$37,B36:B$37,0.2),"Х"))</f>
        <v>Х</v>
      </c>
      <c r="R37" s="133" t="s">
        <v>1</v>
      </c>
      <c r="S37" s="139">
        <f>-E37</f>
        <v>100000</v>
      </c>
      <c r="T37" s="139"/>
    </row>
    <row r="38" spans="1:20" ht="11.25">
      <c r="A38" s="133">
        <v>2</v>
      </c>
      <c r="B38" s="141">
        <f aca="true" t="shared" si="0" ref="B38:B48">DATE(YEAR(B37),MONTH(B37)+1,DAY($O$18))</f>
        <v>44129</v>
      </c>
      <c r="C38" s="142">
        <f aca="true" t="shared" si="1" ref="C38:C48">B38-B37</f>
        <v>37</v>
      </c>
      <c r="D38" s="136">
        <f>IF($S37=0,SUM(D37:D$38),SUM(E38:P38))</f>
        <v>7803.278688524591</v>
      </c>
      <c r="E38" s="137">
        <f>-E37*7%</f>
        <v>7000.000000000001</v>
      </c>
      <c r="F38" s="136">
        <f>IF(B38-B37&lt;30,0,(S37*($F$18))*((B38-B37)-30)/(DATE(YEAR(B38)+1,1,1)-DATE(YEAR(B38),1,1)))</f>
        <v>803.2786885245902</v>
      </c>
      <c r="G38" s="136">
        <v>0</v>
      </c>
      <c r="H38" s="136">
        <v>0</v>
      </c>
      <c r="I38" s="136">
        <v>0</v>
      </c>
      <c r="J38" s="136">
        <f>IF(OR($B37="Усього",$B37=""),"",IF($S37=0,SUM(J$37:J37),0))</f>
        <v>0</v>
      </c>
      <c r="K38" s="136">
        <v>0</v>
      </c>
      <c r="L38" s="137">
        <v>0</v>
      </c>
      <c r="M38" s="137">
        <v>0</v>
      </c>
      <c r="N38" s="137">
        <v>0</v>
      </c>
      <c r="O38" s="136">
        <f>S37*O29</f>
        <v>0</v>
      </c>
      <c r="P38" s="137">
        <v>0</v>
      </c>
      <c r="Q38" s="143" t="str">
        <f>IF($O$11&lt;=0,0,IF($S37=0,0,"Х"))</f>
        <v>Х</v>
      </c>
      <c r="R38" s="144" t="str">
        <f aca="true" t="shared" si="2" ref="R38:R48">IF(OR($B37="Усього",$B37=""),"",IF($S37=0,SUM(F38:P38),"Х"))</f>
        <v>Х</v>
      </c>
      <c r="S38" s="159">
        <f aca="true" t="shared" si="3" ref="S38:S49">IF($S37=0,"",IF(DATE(YEAR(B37),MONTH(B37)+1,DAY($O$17))&gt;$O$15,0,S37-E38))</f>
        <v>93000</v>
      </c>
      <c r="T38" s="160">
        <f aca="true" t="shared" si="4" ref="T38:T48">IF(AND(B38&lt;=B37,B38&lt;&gt;""),"Невідповідність дат","")</f>
      </c>
    </row>
    <row r="39" spans="1:20" ht="11.25">
      <c r="A39" s="133">
        <v>3</v>
      </c>
      <c r="B39" s="141">
        <f t="shared" si="0"/>
        <v>44160</v>
      </c>
      <c r="C39" s="142">
        <f t="shared" si="1"/>
        <v>31</v>
      </c>
      <c r="D39" s="136">
        <f>IF($S38=0,SUM(D38:D$38),SUM(E39:P39))</f>
        <v>9762.131147540986</v>
      </c>
      <c r="E39" s="137">
        <f>S38*7%</f>
        <v>6510.000000000001</v>
      </c>
      <c r="F39" s="137">
        <f>IF(B39-B37&lt;30,0,(S38*($F$18))*((B39-B37)-30)/(DATE(YEAR(B38)+1,1,1)-DATE(YEAR(B38),1,1))-F38)</f>
        <v>3252.131147540984</v>
      </c>
      <c r="G39" s="136">
        <v>0</v>
      </c>
      <c r="H39" s="136">
        <v>0</v>
      </c>
      <c r="I39" s="136">
        <v>0</v>
      </c>
      <c r="J39" s="136">
        <f>IF(OR($B38="Усього",$B38=""),"",IF($S38=0,SUM(J$37:J38),0))</f>
        <v>0</v>
      </c>
      <c r="K39" s="136">
        <v>0</v>
      </c>
      <c r="L39" s="137">
        <v>0</v>
      </c>
      <c r="M39" s="137">
        <v>0</v>
      </c>
      <c r="N39" s="137">
        <v>0</v>
      </c>
      <c r="O39" s="136">
        <f>S38*O29</f>
        <v>0</v>
      </c>
      <c r="P39" s="137">
        <v>0</v>
      </c>
      <c r="Q39" s="143" t="str">
        <f>IF(OR($B38="Усього",$B38=""),"",IF($S38=0,_XLL.ЧИСТВНДОХ(D$37:D38,B$37:B38,0.2),"Х"))</f>
        <v>Х</v>
      </c>
      <c r="R39" s="144" t="str">
        <f t="shared" si="2"/>
        <v>Х</v>
      </c>
      <c r="S39" s="159">
        <f t="shared" si="3"/>
        <v>86490</v>
      </c>
      <c r="T39" s="160">
        <f t="shared" si="4"/>
      </c>
    </row>
    <row r="40" spans="1:20" ht="14.25" customHeight="1">
      <c r="A40" s="133">
        <v>4</v>
      </c>
      <c r="B40" s="141">
        <f t="shared" si="0"/>
        <v>44190</v>
      </c>
      <c r="C40" s="142">
        <f t="shared" si="1"/>
        <v>30</v>
      </c>
      <c r="D40" s="136">
        <f>IF($S39=0,SUM(D$38:D39),SUM(E40:P40))</f>
        <v>9031.824590163935</v>
      </c>
      <c r="E40" s="137">
        <f aca="true" t="shared" si="5" ref="E40:E47">S39*7%</f>
        <v>6054.3</v>
      </c>
      <c r="F40" s="136">
        <f>IF(OR($B39="Усього",$B39=""),"",IF($S39=0,SUM(F$38:F40),S39*($F$18)*(B40-B39)/(DATE(YEAR(B38)+1,1,1)-DATE(YEAR(B38),1,1))))</f>
        <v>2977.5245901639337</v>
      </c>
      <c r="G40" s="136">
        <v>0</v>
      </c>
      <c r="H40" s="136">
        <v>0</v>
      </c>
      <c r="I40" s="136">
        <v>0</v>
      </c>
      <c r="J40" s="136">
        <f>IF(OR($B39="Усього",$B39=""),"",IF($S39=0,SUM(J$37:J39),0))</f>
        <v>0</v>
      </c>
      <c r="K40" s="136">
        <v>0</v>
      </c>
      <c r="L40" s="137">
        <v>0</v>
      </c>
      <c r="M40" s="137">
        <v>0</v>
      </c>
      <c r="N40" s="137">
        <v>0</v>
      </c>
      <c r="O40" s="136">
        <f>S39*O29</f>
        <v>0</v>
      </c>
      <c r="P40" s="137">
        <v>0</v>
      </c>
      <c r="Q40" s="143" t="str">
        <f>IF(OR($B39="Усього",$B39=""),"",IF($S39=0,_XLL.ЧИСТВНДОХ(D$37:D39,B$37:B39,0.2),"Х"))</f>
        <v>Х</v>
      </c>
      <c r="R40" s="144" t="str">
        <f t="shared" si="2"/>
        <v>Х</v>
      </c>
      <c r="S40" s="159">
        <f t="shared" si="3"/>
        <v>80435.7</v>
      </c>
      <c r="T40" s="160">
        <f t="shared" si="4"/>
      </c>
    </row>
    <row r="41" spans="1:20" ht="11.25">
      <c r="A41" s="133">
        <v>5</v>
      </c>
      <c r="B41" s="141">
        <f t="shared" si="0"/>
        <v>44221</v>
      </c>
      <c r="C41" s="142">
        <f t="shared" si="1"/>
        <v>31</v>
      </c>
      <c r="D41" s="136">
        <f>IF($S40=0,SUM(D$38:D40),SUM(E41:P41))</f>
        <v>8491.900131147542</v>
      </c>
      <c r="E41" s="137">
        <f t="shared" si="5"/>
        <v>5630.499000000001</v>
      </c>
      <c r="F41" s="136">
        <f>IF(OR($B40="Усього",$B40=""),"",IF($S40=0,SUM(F$38:F41),S40*($F$18)*(B41-B40)/(DATE(YEAR(B39)+1,1,1)-DATE(YEAR(B39),1,1))))</f>
        <v>2861.401131147541</v>
      </c>
      <c r="G41" s="136">
        <v>0</v>
      </c>
      <c r="H41" s="136">
        <v>0</v>
      </c>
      <c r="I41" s="136">
        <v>0</v>
      </c>
      <c r="J41" s="136">
        <f>IF(OR($B40="Усього",$B40=""),"",IF($S40=0,SUM(J$37:J40),0))</f>
        <v>0</v>
      </c>
      <c r="K41" s="136">
        <v>0</v>
      </c>
      <c r="L41" s="137">
        <v>0</v>
      </c>
      <c r="M41" s="137">
        <v>0</v>
      </c>
      <c r="N41" s="137">
        <v>0</v>
      </c>
      <c r="O41" s="136">
        <f>S40*O29</f>
        <v>0</v>
      </c>
      <c r="P41" s="137">
        <v>0</v>
      </c>
      <c r="Q41" s="143" t="str">
        <f>IF(OR($B40="Усього",$B40=""),"",IF($S40=0,_XLL.ЧИСТВНДОХ(D$37:D40,B$37:B40,0.2),"Х"))</f>
        <v>Х</v>
      </c>
      <c r="R41" s="144" t="str">
        <f t="shared" si="2"/>
        <v>Х</v>
      </c>
      <c r="S41" s="159">
        <f t="shared" si="3"/>
        <v>74805.201</v>
      </c>
      <c r="T41" s="160">
        <f t="shared" si="4"/>
      </c>
    </row>
    <row r="42" spans="1:20" ht="11.25">
      <c r="A42" s="133">
        <v>6</v>
      </c>
      <c r="B42" s="141">
        <f t="shared" si="0"/>
        <v>44252</v>
      </c>
      <c r="C42" s="142">
        <f t="shared" si="1"/>
        <v>31</v>
      </c>
      <c r="D42" s="136">
        <f>IF($S41=0,SUM(D$38:D41),SUM(E42:P42))</f>
        <v>7897.467121967214</v>
      </c>
      <c r="E42" s="137">
        <f t="shared" si="5"/>
        <v>5236.3640700000005</v>
      </c>
      <c r="F42" s="136">
        <f>IF(OR($B41="Усього",$B41=""),"",IF($S41=0,SUM(F$38:F42),S41*($F$18)*(B42-B41)/(DATE(YEAR(B40)+1,1,1)-DATE(YEAR(B40),1,1))))</f>
        <v>2661.103051967213</v>
      </c>
      <c r="G42" s="136">
        <v>0</v>
      </c>
      <c r="H42" s="136">
        <v>0</v>
      </c>
      <c r="I42" s="136">
        <v>0</v>
      </c>
      <c r="J42" s="136">
        <f>IF(OR($B41="Усього",$B41=""),"",IF($S41=0,SUM(J$37:J41),0))</f>
        <v>0</v>
      </c>
      <c r="K42" s="136">
        <v>0</v>
      </c>
      <c r="L42" s="137">
        <v>0</v>
      </c>
      <c r="M42" s="137">
        <v>0</v>
      </c>
      <c r="N42" s="137">
        <v>0</v>
      </c>
      <c r="O42" s="136">
        <f>S41*O29</f>
        <v>0</v>
      </c>
      <c r="P42" s="137">
        <v>0</v>
      </c>
      <c r="Q42" s="143" t="str">
        <f>IF(OR($B41="Усього",$B41=""),"",IF($S41=0,_XLL.ЧИСТВНДОХ(D$37:D41,B$37:B41,0.2),"Х"))</f>
        <v>Х</v>
      </c>
      <c r="R42" s="144" t="str">
        <f t="shared" si="2"/>
        <v>Х</v>
      </c>
      <c r="S42" s="159">
        <f t="shared" si="3"/>
        <v>69568.83693</v>
      </c>
      <c r="T42" s="160">
        <f t="shared" si="4"/>
      </c>
    </row>
    <row r="43" spans="1:21" ht="11.25">
      <c r="A43" s="133">
        <v>7</v>
      </c>
      <c r="B43" s="141">
        <f t="shared" si="0"/>
        <v>44280</v>
      </c>
      <c r="C43" s="142">
        <f t="shared" si="1"/>
        <v>28</v>
      </c>
      <c r="D43" s="136">
        <f>IF($S42=0,SUM(D$38:D42),SUM(E43:P43))</f>
        <v>7111.26933111863</v>
      </c>
      <c r="E43" s="137">
        <f>S42*7%</f>
        <v>4869.818585100001</v>
      </c>
      <c r="F43" s="136">
        <f>IF(OR($B42="Усього",$B42=""),"",IF($S42=0,SUM(F$38:F43),S42*($F$18)*(B43-B42)/(DATE(YEAR(B41)+1,1,1)-DATE(YEAR(B41),1,1))))</f>
        <v>2241.45074601863</v>
      </c>
      <c r="G43" s="136">
        <v>0</v>
      </c>
      <c r="H43" s="136">
        <v>0</v>
      </c>
      <c r="I43" s="136">
        <v>0</v>
      </c>
      <c r="J43" s="136">
        <f>IF(OR($B42="Усього",$B42=""),"",IF($S42=0,SUM(J$37:J42),0))</f>
        <v>0</v>
      </c>
      <c r="K43" s="136">
        <v>0</v>
      </c>
      <c r="L43" s="137">
        <v>0</v>
      </c>
      <c r="M43" s="137">
        <v>0</v>
      </c>
      <c r="N43" s="137">
        <v>0</v>
      </c>
      <c r="O43" s="136">
        <f>S42*O29</f>
        <v>0</v>
      </c>
      <c r="P43" s="137">
        <v>0</v>
      </c>
      <c r="Q43" s="143" t="str">
        <f>IF(OR($B42="Усього",$B42=""),"",IF($S42=0,_XLL.ЧИСТВНДОХ(D$37:D42,B$37:B42,0.2),"Х"))</f>
        <v>Х</v>
      </c>
      <c r="R43" s="144" t="str">
        <f t="shared" si="2"/>
        <v>Х</v>
      </c>
      <c r="S43" s="159">
        <f t="shared" si="3"/>
        <v>64699.0183449</v>
      </c>
      <c r="T43" s="160">
        <f t="shared" si="4"/>
      </c>
      <c r="U43" s="153"/>
    </row>
    <row r="44" spans="1:20" ht="11.25">
      <c r="A44" s="133">
        <v>8</v>
      </c>
      <c r="B44" s="141">
        <f t="shared" si="0"/>
        <v>44311</v>
      </c>
      <c r="C44" s="142">
        <f t="shared" si="1"/>
        <v>31</v>
      </c>
      <c r="D44" s="136">
        <f>IF($S43=0,SUM(D$38:D43),SUM(E44:P44))</f>
        <v>6836.825034418612</v>
      </c>
      <c r="E44" s="137">
        <f t="shared" si="5"/>
        <v>4528.931284143001</v>
      </c>
      <c r="F44" s="136">
        <f>IF(OR($B43="Усього",$B43=""),"",IF($S43=0,SUM(F$38:F44),S43*($F$18)*(B44-B43)/(DATE(YEAR(B42)+1,1,1)-DATE(YEAR(B42),1,1))))</f>
        <v>2307.8937502756107</v>
      </c>
      <c r="G44" s="136">
        <v>0</v>
      </c>
      <c r="H44" s="136">
        <v>0</v>
      </c>
      <c r="I44" s="136">
        <v>0</v>
      </c>
      <c r="J44" s="136">
        <f>IF(OR($B43="Усього",$B43=""),"",IF($S43=0,SUM(J$37:J43),0))</f>
        <v>0</v>
      </c>
      <c r="K44" s="136">
        <v>0</v>
      </c>
      <c r="L44" s="137">
        <v>0</v>
      </c>
      <c r="M44" s="137">
        <v>0</v>
      </c>
      <c r="N44" s="137">
        <v>0</v>
      </c>
      <c r="O44" s="136">
        <f>S43*O29</f>
        <v>0</v>
      </c>
      <c r="P44" s="137">
        <v>0</v>
      </c>
      <c r="Q44" s="143" t="str">
        <f>IF(OR($B43="Усього",$B43=""),"",IF($S43=0,_XLL.ЧИСТВНДОХ(D$37:D43,B$37:B43,0.2),"Х"))</f>
        <v>Х</v>
      </c>
      <c r="R44" s="144" t="str">
        <f t="shared" si="2"/>
        <v>Х</v>
      </c>
      <c r="S44" s="159">
        <f t="shared" si="3"/>
        <v>60170.087060757</v>
      </c>
      <c r="T44" s="160">
        <f t="shared" si="4"/>
      </c>
    </row>
    <row r="45" spans="1:20" ht="11.25">
      <c r="A45" s="133">
        <v>9</v>
      </c>
      <c r="B45" s="141">
        <f t="shared" si="0"/>
        <v>44341</v>
      </c>
      <c r="C45" s="142">
        <f t="shared" si="1"/>
        <v>30</v>
      </c>
      <c r="D45" s="136">
        <f>IF($S44=0,SUM(D$38:D44),SUM(E45:P45))</f>
        <v>6289.0104695010405</v>
      </c>
      <c r="E45" s="137">
        <f t="shared" si="5"/>
        <v>4211.90609425299</v>
      </c>
      <c r="F45" s="136">
        <f>IF(OR($B44="Усього",$B44=""),"",IF($S44=0,SUM(F$38:F45),S44*($F$18)*(B45-B44)/(DATE(YEAR(B43)+1,1,1)-DATE(YEAR(B43),1,1))))</f>
        <v>2077.10437524805</v>
      </c>
      <c r="G45" s="136">
        <v>0</v>
      </c>
      <c r="H45" s="136">
        <v>0</v>
      </c>
      <c r="I45" s="136">
        <v>0</v>
      </c>
      <c r="J45" s="136">
        <f>IF(OR($B44="Усього",$B44=""),"",IF($S44=0,SUM(J$37:J44),0))</f>
        <v>0</v>
      </c>
      <c r="K45" s="136">
        <v>0</v>
      </c>
      <c r="L45" s="137">
        <v>0</v>
      </c>
      <c r="M45" s="137">
        <v>0</v>
      </c>
      <c r="N45" s="137">
        <v>0</v>
      </c>
      <c r="O45" s="136">
        <f>S44*O29</f>
        <v>0</v>
      </c>
      <c r="P45" s="137">
        <v>0</v>
      </c>
      <c r="Q45" s="143" t="str">
        <f>IF(OR($B44="Усього",$B44=""),"",IF($S44=0,_XLL.ЧИСТВНДОХ(D$37:D44,B$37:B44,0.2),"Х"))</f>
        <v>Х</v>
      </c>
      <c r="R45" s="144" t="str">
        <f t="shared" si="2"/>
        <v>Х</v>
      </c>
      <c r="S45" s="159">
        <f t="shared" si="3"/>
        <v>55958.18096650401</v>
      </c>
      <c r="T45" s="160">
        <f t="shared" si="4"/>
      </c>
    </row>
    <row r="46" spans="1:20" ht="11.25">
      <c r="A46" s="133">
        <v>10</v>
      </c>
      <c r="B46" s="141">
        <f t="shared" si="0"/>
        <v>44372</v>
      </c>
      <c r="C46" s="142">
        <f t="shared" si="1"/>
        <v>31</v>
      </c>
      <c r="D46" s="136">
        <f>IF($S45=0,SUM(D$38:D45),SUM(E46:P46))</f>
        <v>5913.169972268657</v>
      </c>
      <c r="E46" s="137">
        <f t="shared" si="5"/>
        <v>3917.0726676552813</v>
      </c>
      <c r="F46" s="136">
        <f>IF(OR($B45="Усього",$B45=""),"",IF($S45=0,SUM(F$38:F46),S45*($F$18)*(B46-B45)/(DATE(YEAR(B44)+1,1,1)-DATE(YEAR(B44),1,1))))</f>
        <v>1996.097304613376</v>
      </c>
      <c r="G46" s="136">
        <v>0</v>
      </c>
      <c r="H46" s="136">
        <v>0</v>
      </c>
      <c r="I46" s="136">
        <v>0</v>
      </c>
      <c r="J46" s="136">
        <f>IF(OR($B45="Усього",$B45=""),"",IF($S45=0,SUM(J$37:J45),0))</f>
        <v>0</v>
      </c>
      <c r="K46" s="136">
        <v>0</v>
      </c>
      <c r="L46" s="137">
        <v>0</v>
      </c>
      <c r="M46" s="137">
        <v>0</v>
      </c>
      <c r="N46" s="137">
        <v>0</v>
      </c>
      <c r="O46" s="136">
        <f>S45*O29</f>
        <v>0</v>
      </c>
      <c r="P46" s="137">
        <v>0</v>
      </c>
      <c r="Q46" s="143" t="str">
        <f>IF(OR($B45="Усього",$B45=""),"",IF($S45=0,_XLL.ЧИСТВНДОХ(D$37:D45,B$37:B45,0.2),"Х"))</f>
        <v>Х</v>
      </c>
      <c r="R46" s="144" t="str">
        <f t="shared" si="2"/>
        <v>Х</v>
      </c>
      <c r="S46" s="159">
        <f t="shared" si="3"/>
        <v>52041.10829884873</v>
      </c>
      <c r="T46" s="160">
        <f t="shared" si="4"/>
      </c>
    </row>
    <row r="47" spans="1:20" ht="11.25">
      <c r="A47" s="133">
        <v>11</v>
      </c>
      <c r="B47" s="141">
        <f t="shared" si="0"/>
        <v>44402</v>
      </c>
      <c r="C47" s="142">
        <f t="shared" si="1"/>
        <v>30</v>
      </c>
      <c r="D47" s="136">
        <f>IF($S46=0,SUM(D$38:D46),SUM(E47:P47))</f>
        <v>5439.36515507145</v>
      </c>
      <c r="E47" s="137">
        <f t="shared" si="5"/>
        <v>3642.8775809194117</v>
      </c>
      <c r="F47" s="136">
        <f>IF(OR($B46="Усього",$B46=""),"",IF($S46=0,SUM(F$38:F47),S46*($F$18)*(B47-B46)/(DATE(YEAR(B45)+1,1,1)-DATE(YEAR(B45),1,1))))</f>
        <v>1796.4875741520384</v>
      </c>
      <c r="G47" s="136">
        <v>0</v>
      </c>
      <c r="H47" s="136">
        <v>0</v>
      </c>
      <c r="I47" s="136">
        <v>0</v>
      </c>
      <c r="J47" s="136">
        <f>IF(OR($B46="Усього",$B46=""),"",IF($S46=0,SUM(J$37:J46),0))</f>
        <v>0</v>
      </c>
      <c r="K47" s="136">
        <v>0</v>
      </c>
      <c r="L47" s="137">
        <v>0</v>
      </c>
      <c r="M47" s="137">
        <v>0</v>
      </c>
      <c r="N47" s="137">
        <v>0</v>
      </c>
      <c r="O47" s="136">
        <f>S46*O29</f>
        <v>0</v>
      </c>
      <c r="P47" s="137">
        <v>0</v>
      </c>
      <c r="Q47" s="143" t="str">
        <f>IF(OR($B46="Усього",$B46=""),"",IF($S46=0,_XLL.ЧИСТВНДОХ(D$37:D46,B$37:B46,0.2),"Х"))</f>
        <v>Х</v>
      </c>
      <c r="R47" s="144" t="str">
        <f t="shared" si="2"/>
        <v>Х</v>
      </c>
      <c r="S47" s="159">
        <f t="shared" si="3"/>
        <v>48398.23071792932</v>
      </c>
      <c r="T47" s="160">
        <f t="shared" si="4"/>
      </c>
    </row>
    <row r="48" spans="1:20" ht="11.25">
      <c r="A48" s="133">
        <v>12</v>
      </c>
      <c r="B48" s="141">
        <f t="shared" si="0"/>
        <v>44433</v>
      </c>
      <c r="C48" s="142">
        <f t="shared" si="1"/>
        <v>31</v>
      </c>
      <c r="D48" s="136">
        <f>IF($S47=0,SUM(D$38:D47),SUM(E48:P48))</f>
        <v>5114.300709015161</v>
      </c>
      <c r="E48" s="136">
        <f>IF(B48=$O$15,S47,S47*7%)</f>
        <v>3387.876150255053</v>
      </c>
      <c r="F48" s="136">
        <f>IF(OR($B47="Усього",$B47=""),"",IF($S47=0,SUM(F$38:F48),S47*($F$18)*(B48-B47)/(DATE(YEAR(B46)+1,1,1)-DATE(YEAR(B46),1,1))))</f>
        <v>1726.4245587601088</v>
      </c>
      <c r="G48" s="136">
        <v>0</v>
      </c>
      <c r="H48" s="136">
        <v>0</v>
      </c>
      <c r="I48" s="136">
        <v>0</v>
      </c>
      <c r="J48" s="136">
        <f>IF(OR($B47="Усього",$B47=""),"",IF($S47=0,SUM(J$37:J47),0))</f>
        <v>0</v>
      </c>
      <c r="K48" s="136">
        <v>0</v>
      </c>
      <c r="L48" s="137">
        <v>0</v>
      </c>
      <c r="M48" s="137">
        <v>0</v>
      </c>
      <c r="N48" s="137">
        <v>0</v>
      </c>
      <c r="O48" s="136">
        <f>S47*O29</f>
        <v>0</v>
      </c>
      <c r="P48" s="137">
        <v>0</v>
      </c>
      <c r="Q48" s="143" t="str">
        <f>IF(OR($B47="Усього",$B47=""),"",IF($S47=0,_XLL.ЧИСТВНДОХ(D$37:D47,B$37:B47,0.2),"Х"))</f>
        <v>Х</v>
      </c>
      <c r="R48" s="144" t="str">
        <f t="shared" si="2"/>
        <v>Х</v>
      </c>
      <c r="S48" s="159">
        <f t="shared" si="3"/>
        <v>45010.354567674265</v>
      </c>
      <c r="T48" s="160">
        <f t="shared" si="4"/>
      </c>
    </row>
    <row r="49" spans="1:20" s="148" customFormat="1" ht="11.25">
      <c r="A49" s="145" t="str">
        <f>IF(DAY($O$13)=1,"","13")</f>
        <v>13</v>
      </c>
      <c r="B49" s="145">
        <f>IF(DAY($O$13)=1,"Усього",O15)</f>
        <v>44456</v>
      </c>
      <c r="C49" s="142">
        <f>IF(DAY($O$13)=1,"",B49-B48)</f>
        <v>23</v>
      </c>
      <c r="D49" s="137">
        <f>IF($S48=0,SUM(D$38:D48),SUM(E49:P49))</f>
        <v>46201.58751321874</v>
      </c>
      <c r="E49" s="137">
        <f>IF($S48=0,SUM($E$38:$E48),S48)</f>
        <v>45010.354567674265</v>
      </c>
      <c r="F49" s="137">
        <f>IF($S48=0,SUM(F$38:F48),S48*($F18)*(B49-B48)/(DATE(YEAR(B47)+1,1,1)-DATE(YEAR(B47),1,1)))</f>
        <v>1191.2329455444751</v>
      </c>
      <c r="G49" s="137">
        <f>IF(OR($B48="Усього",$B48=""),"",IF($S48=0,SUM(G$37:G48),0))</f>
        <v>0</v>
      </c>
      <c r="H49" s="137">
        <f>IF(OR($B48="Усього",$B48=""),"",IF($S48=0,SUM(H$37:H48),0))</f>
        <v>0</v>
      </c>
      <c r="I49" s="137">
        <f>IF(OR($B48="Усього",$B48=""),"",IF($S48=0,SUM(I$37:I48),0))</f>
        <v>0</v>
      </c>
      <c r="J49" s="137">
        <f>IF(OR($B48="Усього",$B48=""),"",IF($S48=0,SUM(J$37:J48),0))</f>
        <v>0</v>
      </c>
      <c r="K49" s="137">
        <f>IF(OR($B48="Усього",$B48=""),"",IF($S48=0,SUM(K$37:K48),0))</f>
        <v>0</v>
      </c>
      <c r="L49" s="137">
        <f>IF(OR($B48="Усього",$B48=""),"",IF($S48=0,SUM(L$37:L48),0))</f>
        <v>0</v>
      </c>
      <c r="M49" s="137">
        <f>IF(OR($B48="Усього",$B48=""),"",IF($S48=0,SUM(M$37:M48),0))</f>
        <v>0</v>
      </c>
      <c r="N49" s="137">
        <f>IF(OR($B48="Усього",$B48=""),"",IF($S48=0,SUM(N$37:N48),0))</f>
        <v>0</v>
      </c>
      <c r="O49" s="137">
        <f>IF(OR($B48="Усього",$B48=""),"",IF($S48=0,SUM(O$37:O48),S48*O29))</f>
        <v>0</v>
      </c>
      <c r="P49" s="137">
        <f>IF(OR($B48="Усього",$B48=""),"",IF($S48=0,SUM(P$37:P48),0))</f>
        <v>0</v>
      </c>
      <c r="Q49" s="138" t="str">
        <f>IF(OR($B48="Усього",$B48=""),"",IF($S48=0,_XLL.ЧИСТВНДОХ(D$37:D48,B$37:B48,0.2),"Х"))</f>
        <v>Х</v>
      </c>
      <c r="R49" s="146" t="str">
        <f>IF(DAY($O$13)=1,SUM(E49:P49),"Х")</f>
        <v>Х</v>
      </c>
      <c r="S49" s="161">
        <f t="shared" si="3"/>
        <v>0</v>
      </c>
      <c r="T49" s="162"/>
    </row>
    <row r="50" spans="1:23" s="148" customFormat="1" ht="12" customHeight="1">
      <c r="A50" s="135"/>
      <c r="B50" s="145" t="str">
        <f>IF(DAY($O$13)=1,"","Усього")</f>
        <v>Усього</v>
      </c>
      <c r="C50" s="145"/>
      <c r="D50" s="137">
        <f>IF(DAY($O$13)=1,"",SUM(D38:D49))</f>
        <v>125892.12986395656</v>
      </c>
      <c r="E50" s="137">
        <f>IF(DAY($O$13)=1,"",SUM(E38:E49))</f>
        <v>100000</v>
      </c>
      <c r="F50" s="137">
        <f>IF(DAY($O$13)=1,"",SUM(F38:F49))</f>
        <v>25892.12986395655</v>
      </c>
      <c r="G50" s="137">
        <f aca="true" t="shared" si="6" ref="G50:P50">IF(DAY($O$13)=1,"",SUM(G37:G49))</f>
        <v>0</v>
      </c>
      <c r="H50" s="137">
        <f t="shared" si="6"/>
        <v>0</v>
      </c>
      <c r="I50" s="137">
        <f t="shared" si="6"/>
        <v>0</v>
      </c>
      <c r="J50" s="137">
        <f t="shared" si="6"/>
        <v>4000</v>
      </c>
      <c r="K50" s="137">
        <f t="shared" si="6"/>
        <v>0</v>
      </c>
      <c r="L50" s="137">
        <f t="shared" si="6"/>
        <v>0</v>
      </c>
      <c r="M50" s="137">
        <f t="shared" si="6"/>
        <v>0</v>
      </c>
      <c r="N50" s="137">
        <f t="shared" si="6"/>
        <v>0</v>
      </c>
      <c r="O50" s="137">
        <f t="shared" si="6"/>
        <v>0</v>
      </c>
      <c r="P50" s="137">
        <f t="shared" si="6"/>
        <v>0</v>
      </c>
      <c r="Q50" s="138">
        <f>IF(OR($B49="Усього",$B49=""),"",IF($S49=0,_XLL.ЧИСТВНДОХ(D$37:D49,B$37:B49,0.2),"Х"))</f>
        <v>0.5262165606021881</v>
      </c>
      <c r="R50" s="149">
        <f>IF(OR($B49="Усього",$B49=""),"",IF($S49=0,SUM(E50:P50),"Х"))</f>
        <v>129892.12986395655</v>
      </c>
      <c r="S50" s="161">
        <f>IF(OR(B50="Усього",B50=""),"",IF($S49=0,"",IF(DATE(YEAR(B49),MONTH(B49)+1,DAY($O$17))&gt;$O$15,0,S49-E50)))</f>
      </c>
      <c r="T50" s="162">
        <f>IF(AND(B50&lt;=O15,B50&lt;&gt;""),"Невідповідність дат","")</f>
      </c>
      <c r="V50" s="150" t="e">
        <f>IF(DAY(O13)=1,DATE(YEAR(#REF!),MONTH(#REF!),DAY($O$18)),DATE(YEAR(#REF!),MONTH(#REF!)+1,DAY($O$18)))</f>
        <v>#REF!</v>
      </c>
      <c r="W50" s="151">
        <f>DATE(YEAR($O$13)+2,MONTH($O$13),DAY($O$13)-1)</f>
        <v>44821</v>
      </c>
    </row>
    <row r="51" spans="2:21" ht="6.75" customHeight="1">
      <c r="B51" s="94"/>
      <c r="C51" s="94"/>
      <c r="D51" s="94"/>
      <c r="E51" s="94"/>
      <c r="F51" s="96"/>
      <c r="G51" s="96"/>
      <c r="H51" s="96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s="94" customFormat="1" ht="0.75" customHeight="1" hidden="1">
      <c r="F52" s="152"/>
      <c r="G52" s="152"/>
      <c r="H52" s="152"/>
      <c r="I52" s="96"/>
    </row>
    <row r="53" ht="11.25">
      <c r="E53" s="153"/>
    </row>
    <row r="54" spans="6:9" s="94" customFormat="1" ht="18">
      <c r="F54" s="96"/>
      <c r="G54" s="96"/>
      <c r="H54" s="96"/>
      <c r="I54" s="96"/>
    </row>
    <row r="55" spans="6:9" s="94" customFormat="1" ht="5.25" customHeight="1">
      <c r="F55" s="96"/>
      <c r="G55" s="96"/>
      <c r="H55" s="96"/>
      <c r="I55" s="96"/>
    </row>
    <row r="56" spans="2:9" s="94" customFormat="1" ht="18">
      <c r="B56" s="154"/>
      <c r="F56" s="96"/>
      <c r="G56" s="96"/>
      <c r="H56" s="96"/>
      <c r="I56" s="96"/>
    </row>
    <row r="57" s="94" customFormat="1" ht="10.5" customHeight="1">
      <c r="B57" s="154"/>
    </row>
    <row r="58" spans="6:9" s="94" customFormat="1" ht="18">
      <c r="F58" s="96"/>
      <c r="G58" s="96"/>
      <c r="H58" s="96"/>
      <c r="I58" s="96"/>
    </row>
    <row r="59" spans="6:9" s="94" customFormat="1" ht="18">
      <c r="F59" s="96"/>
      <c r="G59" s="96"/>
      <c r="H59" s="96"/>
      <c r="I59" s="96"/>
    </row>
    <row r="60" spans="6:9" s="94" customFormat="1" ht="18">
      <c r="F60" s="96"/>
      <c r="G60" s="96"/>
      <c r="H60" s="96"/>
      <c r="I60" s="96"/>
    </row>
    <row r="61" spans="6:9" s="94" customFormat="1" ht="18">
      <c r="F61" s="96"/>
      <c r="G61" s="96"/>
      <c r="H61" s="96"/>
      <c r="I61" s="96"/>
    </row>
    <row r="62" spans="6:9" s="94" customFormat="1" ht="18">
      <c r="F62" s="96"/>
      <c r="G62" s="96"/>
      <c r="H62" s="96"/>
      <c r="I62" s="96"/>
    </row>
    <row r="63" spans="6:9" s="94" customFormat="1" ht="18">
      <c r="F63" s="96"/>
      <c r="G63" s="96"/>
      <c r="H63" s="96"/>
      <c r="I63" s="96"/>
    </row>
    <row r="64" spans="6:9" s="94" customFormat="1" ht="18">
      <c r="F64" s="96"/>
      <c r="G64" s="96"/>
      <c r="H64" s="96"/>
      <c r="I64" s="96"/>
    </row>
    <row r="65" spans="4:14" s="94" customFormat="1" ht="11.25" customHeight="1">
      <c r="D65" s="155"/>
      <c r="F65" s="156"/>
      <c r="G65" s="156"/>
      <c r="H65" s="156"/>
      <c r="I65" s="96"/>
      <c r="J65" s="91"/>
      <c r="K65" s="91"/>
      <c r="L65" s="91"/>
      <c r="M65" s="91"/>
      <c r="N65" s="91"/>
    </row>
    <row r="66" spans="6:9" s="94" customFormat="1" ht="5.25" customHeight="1">
      <c r="F66" s="96"/>
      <c r="G66" s="96"/>
      <c r="H66" s="96"/>
      <c r="I66" s="96"/>
    </row>
    <row r="67" spans="6:9" s="94" customFormat="1" ht="18" hidden="1">
      <c r="F67" s="96"/>
      <c r="G67" s="96"/>
      <c r="H67" s="96"/>
      <c r="I67" s="96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B1:P1"/>
    <mergeCell ref="O4:R5"/>
    <mergeCell ref="O6:P8"/>
    <mergeCell ref="J11:L11"/>
    <mergeCell ref="J12:L12"/>
    <mergeCell ref="J13:L13"/>
    <mergeCell ref="J15:L15"/>
    <mergeCell ref="B17:E17"/>
    <mergeCell ref="J17:L17"/>
    <mergeCell ref="J18:L18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8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G18:H18">
      <formula1>$U$11:$U$12</formula1>
    </dataValidation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6"/>
      <c r="P5" s="246"/>
      <c r="Q5" s="246"/>
      <c r="R5" s="246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6"/>
      <c r="P6" s="246"/>
      <c r="Q6" s="246"/>
      <c r="R6" s="246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7"/>
      <c r="P7" s="247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7"/>
      <c r="P8" s="247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7"/>
      <c r="P9" s="247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48" t="str">
        <f>"Початкова сума ліміту овердрафту"</f>
        <v>Початкова сума ліміту овердрафту</v>
      </c>
      <c r="K12" s="248"/>
      <c r="L12" s="248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39" t="str">
        <f>"Максимальний за продуктом ліміт овердрафту"</f>
        <v>Максимальний за продуктом ліміт овердрафту</v>
      </c>
      <c r="K13" s="239"/>
      <c r="L13" s="23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39" t="str">
        <f>"Дата кредитного договору:"</f>
        <v>Дата кредитного договору:</v>
      </c>
      <c r="K14" s="239"/>
      <c r="L14" s="239"/>
      <c r="N14" s="68"/>
      <c r="O14" s="39">
        <f ca="1">TODAY()</f>
        <v>44092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39" t="str">
        <f>"Дата завершення овердрафту:"</f>
        <v>Дата завершення овердрафту:</v>
      </c>
      <c r="K16" s="239"/>
      <c r="L16" s="239"/>
      <c r="N16" s="68"/>
      <c r="O16" s="38">
        <f>IF(DAY($O$14)&gt;25,DATE(YEAR($O$14)+1,MONTH($O$14),DAY(25)),IF(DAY($O$14)=1,DATE(YEAR($O$14)+1,MONTH($O$14-1),DAY(25)),DATE(YEAR($O$14)+1,MONTH($O$14),DAY($O$14)-1)))</f>
        <v>44456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40" t="s">
        <v>8</v>
      </c>
      <c r="C18" s="240"/>
      <c r="D18" s="240"/>
      <c r="E18" s="241"/>
      <c r="F18" s="27">
        <v>0</v>
      </c>
      <c r="G18" s="61"/>
      <c r="H18" s="61"/>
      <c r="J18" s="242" t="s">
        <v>7</v>
      </c>
      <c r="K18" s="242"/>
      <c r="L18" s="242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39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39"/>
      <c r="L19" s="23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43" t="s">
        <v>58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V23" s="7"/>
      <c r="W23" s="7"/>
      <c r="X23" s="2"/>
      <c r="Y23" s="7"/>
      <c r="Z23" s="7"/>
      <c r="AA23" s="7"/>
    </row>
    <row r="24" spans="2:27" ht="18.75" customHeight="1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44" t="s">
        <v>14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2:17" ht="11.25" customHeight="1">
      <c r="B28" s="231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58">
        <v>0.04</v>
      </c>
      <c r="P28" s="59"/>
      <c r="Q28" s="58"/>
    </row>
    <row r="29" spans="2:17" ht="24" customHeight="1">
      <c r="B29" s="232" t="s">
        <v>15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60">
        <v>0.007</v>
      </c>
      <c r="P29" s="59"/>
      <c r="Q29" s="60"/>
    </row>
    <row r="30" spans="1:18" ht="17.25" customHeight="1">
      <c r="A30" s="233" t="s">
        <v>55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20" ht="13.5" customHeight="1">
      <c r="A31" s="221" t="s">
        <v>27</v>
      </c>
      <c r="B31" s="221" t="s">
        <v>33</v>
      </c>
      <c r="C31" s="221" t="s">
        <v>32</v>
      </c>
      <c r="D31" s="224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24" t="s">
        <v>53</v>
      </c>
      <c r="S31" s="5" t="s">
        <v>2</v>
      </c>
      <c r="T31" s="5"/>
    </row>
    <row r="32" spans="1:19" ht="14.25" customHeight="1">
      <c r="A32" s="222"/>
      <c r="B32" s="222"/>
      <c r="C32" s="222"/>
      <c r="D32" s="225"/>
      <c r="E32" s="221" t="s">
        <v>34</v>
      </c>
      <c r="F32" s="224" t="s">
        <v>36</v>
      </c>
      <c r="G32" s="227" t="s">
        <v>56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37"/>
      <c r="R32" s="225"/>
      <c r="S32" s="7"/>
    </row>
    <row r="33" spans="1:19" ht="13.5" customHeight="1">
      <c r="A33" s="222"/>
      <c r="B33" s="222"/>
      <c r="C33" s="222"/>
      <c r="D33" s="225"/>
      <c r="E33" s="222"/>
      <c r="F33" s="225"/>
      <c r="G33" s="229" t="s">
        <v>17</v>
      </c>
      <c r="H33" s="230"/>
      <c r="I33" s="230"/>
      <c r="J33" s="230"/>
      <c r="K33" s="229" t="s">
        <v>19</v>
      </c>
      <c r="L33" s="230"/>
      <c r="M33" s="229" t="s">
        <v>22</v>
      </c>
      <c r="N33" s="230"/>
      <c r="O33" s="230"/>
      <c r="P33" s="230"/>
      <c r="Q33" s="237"/>
      <c r="R33" s="225"/>
      <c r="S33" s="7"/>
    </row>
    <row r="34" spans="1:19" ht="36.75" customHeight="1">
      <c r="A34" s="223"/>
      <c r="B34" s="223"/>
      <c r="C34" s="223"/>
      <c r="D34" s="226"/>
      <c r="E34" s="223"/>
      <c r="F34" s="226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26"/>
      <c r="S34" s="7"/>
    </row>
    <row r="35" spans="1:18" ht="11.25" customHeight="1">
      <c r="A35" s="217">
        <v>1</v>
      </c>
      <c r="B35" s="217" t="s">
        <v>28</v>
      </c>
      <c r="C35" s="219" t="s">
        <v>29</v>
      </c>
      <c r="D35" s="217" t="s">
        <v>30</v>
      </c>
      <c r="E35" s="219" t="s">
        <v>31</v>
      </c>
      <c r="F35" s="217" t="s">
        <v>35</v>
      </c>
      <c r="G35" s="215" t="s">
        <v>26</v>
      </c>
      <c r="H35" s="215" t="s">
        <v>38</v>
      </c>
      <c r="I35" s="215" t="s">
        <v>39</v>
      </c>
      <c r="J35" s="215" t="s">
        <v>40</v>
      </c>
      <c r="K35" s="215" t="s">
        <v>42</v>
      </c>
      <c r="L35" s="215" t="s">
        <v>43</v>
      </c>
      <c r="M35" s="215" t="s">
        <v>44</v>
      </c>
      <c r="N35" s="215" t="s">
        <v>45</v>
      </c>
      <c r="O35" s="215" t="s">
        <v>46</v>
      </c>
      <c r="P35" s="215" t="s">
        <v>47</v>
      </c>
      <c r="Q35" s="11" t="s">
        <v>50</v>
      </c>
      <c r="R35" s="11" t="s">
        <v>51</v>
      </c>
    </row>
    <row r="36" spans="1:18" ht="11.25" customHeight="1">
      <c r="A36" s="218"/>
      <c r="B36" s="218"/>
      <c r="C36" s="220"/>
      <c r="D36" s="218"/>
      <c r="E36" s="220"/>
      <c r="F36" s="218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44092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37</v>
      </c>
      <c r="D38" s="43">
        <f>IF($S37=0,SUM(D37:D$38),SUM(E38:P38))</f>
        <v>838.8524590163936</v>
      </c>
      <c r="E38" s="45">
        <f>-E37*7%</f>
        <v>700.0000000000001</v>
      </c>
      <c r="F38" s="43">
        <f>IF(B38-B37&lt;30,0,(S37*($F$19))*((B38-B37)-30)/(DATE(YEAR(B38)+1,1,1)-DATE(YEAR(B38),1,1)))</f>
        <v>68.85245901639344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994.8540983606559</v>
      </c>
      <c r="E39" s="45">
        <f>S38*7%</f>
        <v>651.0000000000001</v>
      </c>
      <c r="F39" s="45">
        <f>IF(B39-B37&lt;30,0,(S38*($F$19))*((B39-B37)-30)/(DATE(YEAR(B38)+1,1,1)-DATE(YEAR(B38),1,1))-F38)</f>
        <v>278.75409836065575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44456</v>
      </c>
      <c r="C49" s="88">
        <f>IF(DAY($O$14)=1,"",B49-B48)</f>
        <v>23</v>
      </c>
      <c r="D49" s="45">
        <f>IF($S48=0,SUM(D$38:D48),SUM(E49:P49))</f>
        <v>4634.648386011467</v>
      </c>
      <c r="E49" s="45">
        <f>IF($S48=0,SUM($E$38:$E48),S48)</f>
        <v>4501.035456767426</v>
      </c>
      <c r="F49" s="45">
        <f>IF($S48=0,SUM(F$38:F48),S48*($F19)*(B49-B48)/(DATE(YEAR(B47)+1,1,1)-DATE(YEAR(B47),1,1)))</f>
        <v>102.10568104666926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12800.729119431191</v>
      </c>
      <c r="E50" s="45">
        <f>IF(DAY($O$14)=1,"",SUM(E38:E49))</f>
        <v>10000</v>
      </c>
      <c r="F50" s="45">
        <f>IF(DAY($O$14)=1,"",SUM(F38:F49))</f>
        <v>2219.325416910561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0.57263622879982</v>
      </c>
      <c r="R50" s="85">
        <f>IF(OR($B49="Усього",$B49=""),"",IF($S49=0,SUM(E50:P50),"Х"))</f>
        <v>13200.72911943119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44821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2020-09-18T09:27:15Z</dcterms:modified>
  <cp:category/>
  <cp:version/>
  <cp:contentType/>
  <cp:contentStatus/>
</cp:coreProperties>
</file>