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15300" windowHeight="8670" tabRatio="280" activeTab="0"/>
  </bookViews>
  <sheets>
    <sheet name="Крок назустріч" sheetId="1" r:id="rId1"/>
    <sheet name="Календар (6)" sheetId="2" state="hidden" r:id="rId2"/>
  </sheets>
  <definedNames>
    <definedName name="avans2">#REF!</definedName>
    <definedName name="data2">#REF!</definedName>
    <definedName name="LastFIO" localSheetId="1">'Календар (6)'!#REF!</definedName>
    <definedName name="LastFIO" localSheetId="0">'Крок назустріч'!#REF!</definedName>
    <definedName name="proc2">#REF!</definedName>
    <definedName name="stoimost2">#REF!</definedName>
    <definedName name="strok2">#REF!</definedName>
    <definedName name="sumkred2">#REF!</definedName>
    <definedName name="sumproplat2">#REF!</definedName>
    <definedName name="_xlnm.Print_Area" localSheetId="1">'Календар (6)'!$B$2:$R$67</definedName>
    <definedName name="_xlnm.Print_Area" localSheetId="0">'Крок назустріч'!$B$2:$R$67</definedName>
  </definedNames>
  <calcPr fullCalcOnLoad="1"/>
</workbook>
</file>

<file path=xl/comments1.xml><?xml version="1.0" encoding="utf-8"?>
<comments xmlns="http://schemas.openxmlformats.org/spreadsheetml/2006/main">
  <authors>
    <author>Дем'яненко Алла Леонідівна</author>
  </authors>
  <commentList>
    <comment ref="O11" authorId="0">
      <text>
        <r>
          <rPr>
            <b/>
            <sz val="9"/>
            <rFont val="Tahoma"/>
            <family val="2"/>
          </rPr>
          <t>Введіть суму ліміту овердрафту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<sst xmlns="http://schemas.openxmlformats.org/spreadsheetml/2006/main" count="123" uniqueCount="68">
  <si>
    <t>розрахунково-касове обслуговування</t>
  </si>
  <si>
    <t>Х</t>
  </si>
  <si>
    <t>Залишок заборгованості</t>
  </si>
  <si>
    <t>Підключено M-banking</t>
  </si>
  <si>
    <t>так</t>
  </si>
  <si>
    <t>Інші послуги, якими можливо скористатися</t>
  </si>
  <si>
    <t>при обслуговуванні - тарифний план</t>
  </si>
  <si>
    <t>Кількість місяців використання овердрафту</t>
  </si>
  <si>
    <t>Комісія за встановлення ліміту овердрафту
(оплачується одноразово при встановленні ліміту)</t>
  </si>
  <si>
    <t>Для розрахунку приймається варіант  подорожчання кредиту за таких умов:</t>
  </si>
  <si>
    <t>Картка моментального випуску</t>
  </si>
  <si>
    <t>ні</t>
  </si>
  <si>
    <t>Позичальник скористається всією сумою кредитного ліміту в день отримання кредиту шляхом зняття готівки в установі банку, або банкоматі АБ «УКРГАЗБАНК».</t>
  </si>
  <si>
    <t>Процента ставка в пільговий період</t>
  </si>
  <si>
    <t>Погашення основної суми боргу за дозволеним овердрафтом  здійснюватиметься щомісяця до 25 числа та становить 7% від фактичної заборгованості по основному боргу на 1-ше число кожного місяця (мінімум 50,00 грн. але не більше фактичної заборгованості на 1-ше число місяця). При цьому передбачається, що у повному обсязі заборгованість буде погашена в останню дату дії ліміту овердрафту.</t>
  </si>
  <si>
    <t>Щомісячний платіж за страхування життя власника рахунку від фактичної заборгованості станом на 1-е число місяця (не стягується у разі наявності заборгованості менше ніж 100,00 грн, та/або відсутності операцій по рахунку у звітному місяці) становить</t>
  </si>
  <si>
    <t>х</t>
  </si>
  <si>
    <t>банку</t>
  </si>
  <si>
    <t>за обслуговування кредитної заборгованості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</si>
  <si>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</si>
  <si>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</si>
  <si>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</si>
  <si>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</si>
  <si>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</si>
  <si>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</si>
  <si>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</si>
  <si>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7</t>
  </si>
  <si>
    <t>№ з/п</t>
  </si>
  <si>
    <t>2</t>
  </si>
  <si>
    <t>3</t>
  </si>
  <si>
    <t>4</t>
  </si>
  <si>
    <t>5</t>
  </si>
  <si>
    <t>Кількість днів у розрахунковому періоді</t>
  </si>
  <si>
    <t>Дата видачі кредиту у формі овердафту/ дата платежу</t>
  </si>
  <si>
    <t>сума кредиту у формі овердрафту за договором</t>
  </si>
  <si>
    <t>6</t>
  </si>
  <si>
    <t>проценти за користування кредитом у формі овердрафту</t>
  </si>
  <si>
    <t>Види платежів за кредитом у формі оведрафту</t>
  </si>
  <si>
    <t>8</t>
  </si>
  <si>
    <t>9</t>
  </si>
  <si>
    <t>10</t>
  </si>
  <si>
    <t>комісія за видачу готівки 
в установах та банкоматах  АБ "УКРГАЗБАНК"</t>
  </si>
  <si>
    <t>11</t>
  </si>
  <si>
    <t>12</t>
  </si>
  <si>
    <t>13</t>
  </si>
  <si>
    <t>14</t>
  </si>
  <si>
    <t>15</t>
  </si>
  <si>
    <t>16</t>
  </si>
  <si>
    <t>інші послуги третії осіб</t>
  </si>
  <si>
    <t>Овер-ДРАЙВ</t>
  </si>
  <si>
    <t>17</t>
  </si>
  <si>
    <t>18</t>
  </si>
  <si>
    <t xml:space="preserve">Реальна річна процентна ставка, 
% </t>
  </si>
  <si>
    <t>Загальна вартість кредиту, грн</t>
  </si>
  <si>
    <t xml:space="preserve">Додаток 2 до рішення КР АБ «УКРГАЗБАНК»
№____ від ___ _______  року
</t>
  </si>
  <si>
    <t>Таблиця обчислення загальної вартості кредиту для Клієнта та реальної річної процентної ставки за договором про споживчий кредит на початкову (запитувану) суму ліміту дозволеного овердрафту:</t>
  </si>
  <si>
    <t>платежі за додаткові та супутні послуги</t>
  </si>
  <si>
    <r>
      <t xml:space="preserve">комісія за надання </t>
    </r>
    <r>
      <rPr>
        <b/>
        <sz val="8"/>
        <rFont val="Arial Cyr"/>
        <family val="2"/>
      </rPr>
      <t>кредиту у формі овердрафту</t>
    </r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</si>
  <si>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за програмою «Домовичок» </t>
  </si>
  <si>
    <t>РКО</t>
  </si>
  <si>
    <t>комісія за надання кредиту у формі овердрафту</t>
  </si>
  <si>
    <t>грн</t>
  </si>
  <si>
    <t>Загальна вартість кредиту</t>
  </si>
  <si>
    <t>Реальна річна відсоткова ставка</t>
  </si>
  <si>
    <t>%</t>
  </si>
  <si>
    <t>Крок назустріч</t>
  </si>
  <si>
    <t xml:space="preserve">Таблиця обчислення загальної вартості кредиту для Клієнта та реальної річної процентної ставки за договором про споживчий кредит продукт "Крок назустріч" </t>
  </si>
  <si>
    <t>Загальні витрати по кредиту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</si>
</sst>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#,##0.0000"/>
    <numFmt numFmtId="186" formatCode="0.0000%"/>
    <numFmt numFmtId="187" formatCode="[$-422]d\ mmmm\ yyyy&quot; р.&quot;"/>
  </numFmts>
  <fonts count="71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color indexed="23"/>
      <name val="Arial Cyr"/>
      <family val="2"/>
    </font>
    <font>
      <b/>
      <sz val="8"/>
      <color indexed="10"/>
      <name val="Arial Cyr"/>
      <family val="2"/>
    </font>
    <font>
      <sz val="14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b/>
      <sz val="8"/>
      <color indexed="9"/>
      <name val="Arial Cyr"/>
      <family val="2"/>
    </font>
    <font>
      <sz val="14"/>
      <color indexed="9"/>
      <name val="Arial Cyr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b/>
      <sz val="8"/>
      <color theme="0"/>
      <name val="Arial Cyr"/>
      <family val="2"/>
    </font>
    <font>
      <sz val="14"/>
      <color theme="0"/>
      <name val="Arial Cyr"/>
      <family val="2"/>
    </font>
    <font>
      <b/>
      <sz val="8"/>
      <color rgb="FFFF0000"/>
      <name val="Arial Cyr"/>
      <family val="0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10" xfId="57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9" fontId="3" fillId="0" borderId="13" xfId="57" applyFont="1" applyBorder="1" applyAlignment="1">
      <alignment horizontal="center"/>
    </xf>
    <xf numFmtId="0" fontId="7" fillId="0" borderId="0" xfId="0" applyFont="1" applyAlignment="1">
      <alignment/>
    </xf>
    <xf numFmtId="184" fontId="3" fillId="0" borderId="13" xfId="57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8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13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 horizontal="center"/>
    </xf>
    <xf numFmtId="0" fontId="63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6" fontId="3" fillId="0" borderId="13" xfId="57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3" fillId="0" borderId="0" xfId="0" applyNumberFormat="1" applyFont="1" applyAlignment="1">
      <alignment horizontal="left"/>
    </xf>
    <xf numFmtId="14" fontId="3" fillId="0" borderId="13" xfId="0" applyNumberFormat="1" applyFont="1" applyBorder="1" applyAlignment="1" applyProtection="1">
      <alignment horizontal="left"/>
      <protection hidden="1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/>
    </xf>
    <xf numFmtId="0" fontId="63" fillId="0" borderId="0" xfId="0" applyFont="1" applyAlignment="1" applyProtection="1">
      <alignment/>
      <protection locked="0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63" fillId="0" borderId="0" xfId="57" applyNumberFormat="1" applyFont="1" applyAlignment="1">
      <alignment/>
    </xf>
    <xf numFmtId="4" fontId="63" fillId="0" borderId="0" xfId="0" applyNumberFormat="1" applyFont="1" applyAlignment="1">
      <alignment/>
    </xf>
    <xf numFmtId="0" fontId="63" fillId="0" borderId="0" xfId="0" applyFont="1" applyAlignment="1">
      <alignment vertical="center"/>
    </xf>
    <xf numFmtId="0" fontId="67" fillId="0" borderId="0" xfId="0" applyFont="1" applyAlignment="1">
      <alignment/>
    </xf>
    <xf numFmtId="4" fontId="3" fillId="0" borderId="13" xfId="0" applyNumberFormat="1" applyFont="1" applyBorder="1" applyAlignment="1" applyProtection="1">
      <alignment horizontal="left" vertical="center"/>
      <protection hidden="1"/>
    </xf>
    <xf numFmtId="1" fontId="3" fillId="0" borderId="13" xfId="0" applyNumberFormat="1" applyFont="1" applyBorder="1" applyAlignment="1">
      <alignment horizontal="left" vertical="center"/>
    </xf>
    <xf numFmtId="184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horizontal="left" vertical="center" wrapText="1"/>
    </xf>
    <xf numFmtId="184" fontId="3" fillId="0" borderId="0" xfId="0" applyNumberFormat="1" applyFont="1" applyBorder="1" applyAlignment="1">
      <alignment horizontal="center"/>
    </xf>
    <xf numFmtId="184" fontId="3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 wrapText="1"/>
    </xf>
    <xf numFmtId="14" fontId="3" fillId="0" borderId="13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/>
    </xf>
    <xf numFmtId="183" fontId="3" fillId="0" borderId="10" xfId="60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 applyProtection="1">
      <alignment horizontal="left" vertical="center"/>
      <protection hidden="1"/>
    </xf>
    <xf numFmtId="4" fontId="9" fillId="2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right"/>
      <protection hidden="1"/>
    </xf>
    <xf numFmtId="184" fontId="3" fillId="0" borderId="0" xfId="57" applyNumberFormat="1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184" fontId="63" fillId="0" borderId="0" xfId="57" applyNumberFormat="1" applyFont="1" applyFill="1" applyAlignment="1" applyProtection="1">
      <alignment/>
      <protection hidden="1"/>
    </xf>
    <xf numFmtId="4" fontId="63" fillId="0" borderId="0" xfId="0" applyNumberFormat="1" applyFont="1" applyFill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/>
      <protection hidden="1"/>
    </xf>
    <xf numFmtId="184" fontId="15" fillId="0" borderId="13" xfId="0" applyNumberFormat="1" applyFont="1" applyBorder="1" applyAlignment="1" applyProtection="1">
      <alignment horizontal="center"/>
      <protection hidden="1"/>
    </xf>
    <xf numFmtId="184" fontId="69" fillId="0" borderId="0" xfId="0" applyNumberFormat="1" applyFont="1" applyBorder="1" applyAlignment="1" applyProtection="1">
      <alignment horizontal="center"/>
      <protection hidden="1"/>
    </xf>
    <xf numFmtId="184" fontId="15" fillId="0" borderId="0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1" fontId="15" fillId="0" borderId="13" xfId="0" applyNumberFormat="1" applyFont="1" applyBorder="1" applyAlignment="1" applyProtection="1">
      <alignment horizontal="left" vertical="center"/>
      <protection hidden="1"/>
    </xf>
    <xf numFmtId="0" fontId="70" fillId="0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10" fontId="15" fillId="0" borderId="13" xfId="57" applyNumberFormat="1" applyFont="1" applyBorder="1" applyAlignment="1" applyProtection="1">
      <alignment horizontal="center"/>
      <protection hidden="1"/>
    </xf>
    <xf numFmtId="184" fontId="69" fillId="0" borderId="0" xfId="57" applyNumberFormat="1" applyFont="1" applyBorder="1" applyAlignment="1" applyProtection="1">
      <alignment horizontal="center"/>
      <protection hidden="1"/>
    </xf>
    <xf numFmtId="184" fontId="15" fillId="0" borderId="0" xfId="57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3" fontId="15" fillId="0" borderId="13" xfId="0" applyNumberFormat="1" applyFont="1" applyBorder="1" applyAlignment="1" applyProtection="1">
      <alignment horizontal="left"/>
      <protection hidden="1"/>
    </xf>
    <xf numFmtId="185" fontId="15" fillId="0" borderId="0" xfId="0" applyNumberFormat="1" applyFont="1" applyFill="1" applyBorder="1" applyAlignment="1" applyProtection="1">
      <alignment horizontal="right"/>
      <protection hidden="1"/>
    </xf>
    <xf numFmtId="186" fontId="15" fillId="0" borderId="13" xfId="57" applyNumberFormat="1" applyFont="1" applyBorder="1" applyAlignment="1" applyProtection="1">
      <alignment horizontal="center"/>
      <protection hidden="1"/>
    </xf>
    <xf numFmtId="186" fontId="69" fillId="0" borderId="0" xfId="57" applyNumberFormat="1" applyFont="1" applyBorder="1" applyAlignment="1" applyProtection="1">
      <alignment horizontal="center"/>
      <protection hidden="1"/>
    </xf>
    <xf numFmtId="186" fontId="15" fillId="0" borderId="0" xfId="57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9" fontId="15" fillId="0" borderId="13" xfId="57" applyFont="1" applyBorder="1" applyAlignment="1" applyProtection="1">
      <alignment horizontal="center"/>
      <protection hidden="1"/>
    </xf>
    <xf numFmtId="9" fontId="15" fillId="0" borderId="0" xfId="57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4" fontId="18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/>
      <protection hidden="1"/>
    </xf>
    <xf numFmtId="4" fontId="3" fillId="0" borderId="0" xfId="0" applyNumberFormat="1" applyFont="1" applyBorder="1" applyAlignment="1" applyProtection="1">
      <alignment horizontal="left"/>
      <protection hidden="1"/>
    </xf>
    <xf numFmtId="4" fontId="15" fillId="0" borderId="0" xfId="0" applyNumberFormat="1" applyFont="1" applyBorder="1" applyAlignment="1" applyProtection="1">
      <alignment horizontal="left"/>
      <protection hidden="1"/>
    </xf>
    <xf numFmtId="14" fontId="15" fillId="0" borderId="0" xfId="0" applyNumberFormat="1" applyFont="1" applyAlignment="1" applyProtection="1">
      <alignment/>
      <protection hidden="1"/>
    </xf>
    <xf numFmtId="1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vertical="top" wrapText="1"/>
      <protection hidden="1"/>
    </xf>
    <xf numFmtId="184" fontId="15" fillId="0" borderId="0" xfId="0" applyNumberFormat="1" applyFont="1" applyFill="1" applyBorder="1" applyAlignment="1" applyProtection="1">
      <alignment horizontal="left"/>
      <protection hidden="1"/>
    </xf>
    <xf numFmtId="10" fontId="15" fillId="0" borderId="0" xfId="0" applyNumberFormat="1" applyFont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4" xfId="0" applyFont="1" applyBorder="1" applyAlignment="1" applyProtection="1">
      <alignment horizontal="center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49" fontId="15" fillId="0" borderId="11" xfId="0" applyNumberFormat="1" applyFont="1" applyBorder="1" applyAlignment="1" applyProtection="1">
      <alignment horizontal="center"/>
      <protection hidden="1"/>
    </xf>
    <xf numFmtId="49" fontId="15" fillId="0" borderId="12" xfId="0" applyNumberFormat="1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14" fontId="15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4" fontId="15" fillId="0" borderId="10" xfId="0" applyNumberFormat="1" applyFont="1" applyBorder="1" applyAlignment="1" applyProtection="1">
      <alignment horizontal="center" vertical="center"/>
      <protection hidden="1"/>
    </xf>
    <xf numFmtId="4" fontId="15" fillId="0" borderId="10" xfId="0" applyNumberFormat="1" applyFont="1" applyFill="1" applyBorder="1" applyAlignment="1" applyProtection="1">
      <alignment horizontal="center" vertical="center"/>
      <protection hidden="1"/>
    </xf>
    <xf numFmtId="10" fontId="15" fillId="0" borderId="10" xfId="57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15" fillId="0" borderId="10" xfId="0" applyNumberFormat="1" applyFont="1" applyBorder="1" applyAlignment="1" applyProtection="1">
      <alignment horizontal="center"/>
      <protection hidden="1"/>
    </xf>
    <xf numFmtId="2" fontId="15" fillId="0" borderId="10" xfId="0" applyNumberFormat="1" applyFont="1" applyFill="1" applyBorder="1" applyAlignment="1" applyProtection="1">
      <alignment horizontal="center"/>
      <protection hidden="1"/>
    </xf>
    <xf numFmtId="10" fontId="15" fillId="0" borderId="10" xfId="57" applyNumberFormat="1" applyFont="1" applyBorder="1" applyAlignment="1" applyProtection="1">
      <alignment horizontal="center"/>
      <protection hidden="1"/>
    </xf>
    <xf numFmtId="4" fontId="15" fillId="0" borderId="10" xfId="0" applyNumberFormat="1" applyFont="1" applyBorder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14" fontId="15" fillId="0" borderId="10" xfId="0" applyNumberFormat="1" applyFont="1" applyFill="1" applyBorder="1" applyAlignment="1" applyProtection="1">
      <alignment horizontal="center" vertical="center"/>
      <protection hidden="1"/>
    </xf>
    <xf numFmtId="4" fontId="15" fillId="0" borderId="10" xfId="0" applyNumberFormat="1" applyFont="1" applyFill="1" applyBorder="1" applyAlignment="1" applyProtection="1">
      <alignment horizontal="center"/>
      <protection hidden="1"/>
    </xf>
    <xf numFmtId="4" fontId="15" fillId="0" borderId="0" xfId="0" applyNumberFormat="1" applyFont="1" applyFill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hidden="1"/>
    </xf>
    <xf numFmtId="183" fontId="15" fillId="0" borderId="10" xfId="60" applyFont="1" applyFill="1" applyBorder="1" applyAlignment="1" applyProtection="1">
      <alignment horizontal="center"/>
      <protection hidden="1"/>
    </xf>
    <xf numFmtId="14" fontId="3" fillId="0" borderId="10" xfId="0" applyNumberFormat="1" applyFont="1" applyFill="1" applyBorder="1" applyAlignment="1" applyProtection="1">
      <alignment horizontal="left" wrapText="1"/>
      <protection hidden="1"/>
    </xf>
    <xf numFmtId="14" fontId="3" fillId="0" borderId="13" xfId="0" applyNumberFormat="1" applyFont="1" applyFill="1" applyBorder="1" applyAlignment="1" applyProtection="1">
      <alignment horizontal="left"/>
      <protection hidden="1"/>
    </xf>
    <xf numFmtId="4" fontId="3" fillId="0" borderId="0" xfId="0" applyNumberFormat="1" applyFont="1" applyAlignment="1" applyProtection="1">
      <alignment horizontal="left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49" fontId="15" fillId="0" borderId="16" xfId="0" applyNumberFormat="1" applyFont="1" applyBorder="1" applyAlignment="1" applyProtection="1">
      <alignment horizontal="center" vertical="center"/>
      <protection hidden="1"/>
    </xf>
    <xf numFmtId="49" fontId="15" fillId="0" borderId="17" xfId="0" applyNumberFormat="1" applyFont="1" applyBorder="1" applyAlignment="1" applyProtection="1">
      <alignment horizontal="center" vertical="center"/>
      <protection hidden="1"/>
    </xf>
    <xf numFmtId="49" fontId="15" fillId="0" borderId="11" xfId="0" applyNumberFormat="1" applyFont="1" applyBorder="1" applyAlignment="1" applyProtection="1">
      <alignment horizontal="center" vertical="center"/>
      <protection hidden="1"/>
    </xf>
    <xf numFmtId="49" fontId="15" fillId="0" borderId="12" xfId="0" applyNumberFormat="1" applyFont="1" applyBorder="1" applyAlignment="1" applyProtection="1">
      <alignment horizontal="center" vertical="center"/>
      <protection hidden="1"/>
    </xf>
    <xf numFmtId="49" fontId="15" fillId="0" borderId="11" xfId="0" applyNumberFormat="1" applyFont="1" applyFill="1" applyBorder="1" applyAlignment="1" applyProtection="1">
      <alignment horizontal="center" vertical="center"/>
      <protection hidden="1"/>
    </xf>
    <xf numFmtId="49" fontId="15" fillId="0" borderId="12" xfId="0" applyNumberFormat="1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top" wrapText="1"/>
      <protection hidden="1"/>
    </xf>
    <xf numFmtId="0" fontId="15" fillId="0" borderId="18" xfId="0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Fill="1" applyBorder="1" applyAlignment="1" applyProtection="1">
      <alignment horizontal="center" vertical="top" wrapText="1"/>
      <protection hidden="1"/>
    </xf>
    <xf numFmtId="0" fontId="15" fillId="0" borderId="11" xfId="0" applyFont="1" applyBorder="1" applyAlignment="1" applyProtection="1">
      <alignment horizontal="center" vertical="top" wrapText="1"/>
      <protection hidden="1"/>
    </xf>
    <xf numFmtId="0" fontId="15" fillId="0" borderId="18" xfId="0" applyFont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 applyProtection="1">
      <alignment horizontal="center" vertical="top" wrapText="1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16" fillId="0" borderId="21" xfId="0" applyFont="1" applyBorder="1" applyAlignment="1" applyProtection="1">
      <alignment horizont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22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381000</xdr:colOff>
      <xdr:row>8</xdr:row>
      <xdr:rowOff>0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209925" cy="723900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647700</xdr:colOff>
      <xdr:row>2</xdr:row>
      <xdr:rowOff>161925</xdr:rowOff>
    </xdr:to>
    <xdr:pic>
      <xdr:nvPicPr>
        <xdr:cNvPr id="1" name="Picture 1" descr="mark_U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209925" cy="71437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A67"/>
  <sheetViews>
    <sheetView showGridLines="0" tabSelected="1" zoomScale="115" zoomScaleNormal="115" zoomScaleSheetLayoutView="97" workbookViewId="0" topLeftCell="A2">
      <selection activeCell="O20" sqref="O20"/>
    </sheetView>
  </sheetViews>
  <sheetFormatPr defaultColWidth="9.00390625" defaultRowHeight="12.75"/>
  <cols>
    <col min="1" max="1" width="3.375" style="92" customWidth="1"/>
    <col min="2" max="2" width="11.00390625" style="92" customWidth="1"/>
    <col min="3" max="3" width="7.75390625" style="92" hidden="1" customWidth="1"/>
    <col min="4" max="4" width="13.25390625" style="92" customWidth="1"/>
    <col min="5" max="5" width="10.125" style="92" customWidth="1"/>
    <col min="6" max="6" width="11.875" style="93" customWidth="1"/>
    <col min="7" max="7" width="12.00390625" style="93" customWidth="1"/>
    <col min="8" max="8" width="9.25390625" style="93" customWidth="1"/>
    <col min="9" max="9" width="12.00390625" style="93" customWidth="1"/>
    <col min="10" max="10" width="16.875" style="92" customWidth="1"/>
    <col min="11" max="11" width="8.25390625" style="92" customWidth="1"/>
    <col min="12" max="12" width="11.125" style="92" customWidth="1"/>
    <col min="13" max="13" width="7.875" style="92" customWidth="1"/>
    <col min="14" max="14" width="8.25390625" style="92" customWidth="1"/>
    <col min="15" max="15" width="10.625" style="92" customWidth="1"/>
    <col min="16" max="16" width="8.25390625" style="92" customWidth="1"/>
    <col min="17" max="17" width="10.125" style="92" customWidth="1"/>
    <col min="18" max="18" width="11.875" style="92" customWidth="1"/>
    <col min="19" max="19" width="11.875" style="92" hidden="1" customWidth="1"/>
    <col min="20" max="20" width="1.875" style="92" bestFit="1" customWidth="1"/>
    <col min="21" max="21" width="9.125" style="92" customWidth="1"/>
    <col min="22" max="23" width="9.125" style="92" hidden="1" customWidth="1"/>
    <col min="24" max="16384" width="9.125" style="92" customWidth="1"/>
  </cols>
  <sheetData>
    <row r="1" spans="2:17" ht="39" customHeight="1" hidden="1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91"/>
    </row>
    <row r="2" spans="2:18" ht="16.5" customHeight="1">
      <c r="B2" s="92">
        <v>1</v>
      </c>
      <c r="D2" s="92">
        <v>1</v>
      </c>
      <c r="E2" s="92">
        <v>2</v>
      </c>
      <c r="F2" s="93">
        <v>1</v>
      </c>
      <c r="H2" s="94"/>
      <c r="I2" s="94">
        <v>1</v>
      </c>
      <c r="J2" s="95">
        <v>1</v>
      </c>
      <c r="K2" s="95"/>
      <c r="L2" s="95"/>
      <c r="O2" s="96"/>
      <c r="P2" s="96"/>
      <c r="R2" s="96"/>
    </row>
    <row r="3" spans="2:18" ht="22.5" customHeight="1">
      <c r="B3" s="92" t="s">
        <v>65</v>
      </c>
      <c r="D3" s="92" t="str">
        <f>"гривня"</f>
        <v>гривня</v>
      </c>
      <c r="E3" s="92" t="str">
        <f>"Торговий POS-термінал"</f>
        <v>Торговий POS-термінал</v>
      </c>
      <c r="F3" s="93" t="s">
        <v>4</v>
      </c>
      <c r="H3" s="94"/>
      <c r="I3" s="97" t="str">
        <f>"ДОМОВИЧОК"</f>
        <v>ДОМОВИЧОК</v>
      </c>
      <c r="J3" s="95" t="str">
        <f>"в кінці строку"</f>
        <v>в кінці строку</v>
      </c>
      <c r="K3" s="95"/>
      <c r="L3" s="95"/>
      <c r="R3" s="96"/>
    </row>
    <row r="4" spans="8:18" ht="6" customHeight="1">
      <c r="H4" s="94"/>
      <c r="I4" s="97"/>
      <c r="J4" s="95" t="str">
        <f>"щомісячна очікувана сума"</f>
        <v>щомісячна очікувана сума</v>
      </c>
      <c r="K4" s="95"/>
      <c r="L4" s="95"/>
      <c r="O4" s="212"/>
      <c r="P4" s="212"/>
      <c r="Q4" s="212"/>
      <c r="R4" s="212"/>
    </row>
    <row r="5" spans="2:18" ht="6" customHeight="1">
      <c r="B5" s="95"/>
      <c r="C5" s="95"/>
      <c r="D5" s="95"/>
      <c r="E5" s="95"/>
      <c r="F5" s="94"/>
      <c r="G5" s="94"/>
      <c r="H5" s="94"/>
      <c r="I5" s="94"/>
      <c r="J5" s="95"/>
      <c r="K5" s="95"/>
      <c r="L5" s="95"/>
      <c r="O5" s="212"/>
      <c r="P5" s="212"/>
      <c r="Q5" s="212"/>
      <c r="R5" s="212"/>
    </row>
    <row r="6" spans="15:17" ht="6" customHeight="1" hidden="1">
      <c r="O6" s="213"/>
      <c r="P6" s="213"/>
      <c r="Q6" s="98"/>
    </row>
    <row r="7" spans="15:17" ht="6" customHeight="1" hidden="1">
      <c r="O7" s="213"/>
      <c r="P7" s="213"/>
      <c r="Q7" s="98"/>
    </row>
    <row r="8" spans="15:24" ht="6" customHeight="1">
      <c r="O8" s="213"/>
      <c r="P8" s="213"/>
      <c r="Q8" s="98"/>
      <c r="R8" s="95"/>
      <c r="S8" s="95"/>
      <c r="T8" s="95"/>
      <c r="U8" s="95"/>
      <c r="V8" s="95"/>
      <c r="W8" s="95"/>
      <c r="X8" s="95"/>
    </row>
    <row r="9" spans="2:24" ht="12">
      <c r="B9" s="99" t="str">
        <f>"Параметри кредитної програми"</f>
        <v>Параметри кредитної програми</v>
      </c>
      <c r="C9" s="99"/>
      <c r="K9" s="100"/>
      <c r="L9" s="100"/>
      <c r="M9" s="100"/>
      <c r="N9" s="100"/>
      <c r="R9" s="95" t="str">
        <f ca="1">"Курс НБУ на "&amp;TEXT(NOW(),"ДД.ММ.ГГГГ")&amp;" р."</f>
        <v>Курс НБУ на ДД.ММ.ГГГГ р.</v>
      </c>
      <c r="S9" s="95"/>
      <c r="T9" s="95"/>
      <c r="U9" s="95"/>
      <c r="V9" s="95"/>
      <c r="W9" s="95"/>
      <c r="X9" s="95"/>
    </row>
    <row r="10" spans="11:24" ht="3.75" customHeight="1">
      <c r="K10" s="100"/>
      <c r="L10" s="100"/>
      <c r="M10" s="100"/>
      <c r="N10" s="100"/>
      <c r="V10" s="95"/>
      <c r="W10" s="95"/>
      <c r="X10" s="95"/>
    </row>
    <row r="11" spans="2:24" ht="12.75" customHeight="1">
      <c r="B11" s="92" t="str">
        <f>"Програма кредитування:"</f>
        <v>Програма кредитування:</v>
      </c>
      <c r="J11" s="214" t="str">
        <f>"Початкова сума ліміту овердрафту"</f>
        <v>Початкова сума ліміту овердрафту</v>
      </c>
      <c r="K11" s="214"/>
      <c r="L11" s="214"/>
      <c r="N11" s="101"/>
      <c r="O11" s="90">
        <v>10000</v>
      </c>
      <c r="P11" s="102" t="s">
        <v>61</v>
      </c>
      <c r="Q11" s="102"/>
      <c r="R11" s="103"/>
      <c r="S11" s="102"/>
      <c r="T11" s="102"/>
      <c r="U11" s="104"/>
      <c r="V11" s="105"/>
      <c r="W11" s="105"/>
      <c r="X11" s="105"/>
    </row>
    <row r="12" spans="10:24" ht="12.75" customHeight="1">
      <c r="J12" s="204" t="str">
        <f>"Максимальний за продуктом ліміт овердрафту"</f>
        <v>Максимальний за продуктом ліміт овердрафту</v>
      </c>
      <c r="K12" s="204"/>
      <c r="L12" s="204"/>
      <c r="N12" s="106"/>
      <c r="O12" s="56">
        <v>300000</v>
      </c>
      <c r="P12" s="102"/>
      <c r="Q12" s="102"/>
      <c r="R12" s="107"/>
      <c r="S12" s="102"/>
      <c r="T12" s="102"/>
      <c r="U12" s="108">
        <v>0.42</v>
      </c>
      <c r="V12" s="105"/>
      <c r="W12" s="105"/>
      <c r="X12" s="105"/>
    </row>
    <row r="13" spans="2:24" ht="12.75" customHeight="1">
      <c r="B13" s="92" t="str">
        <f>"Валюта овердрафту:"</f>
        <v>Валюта овердрафту:</v>
      </c>
      <c r="J13" s="204" t="str">
        <f>"Дата кредитного договору:"</f>
        <v>Дата кредитного договору:</v>
      </c>
      <c r="K13" s="204"/>
      <c r="L13" s="204"/>
      <c r="N13" s="106"/>
      <c r="O13" s="38">
        <f ca="1">TODAY()</f>
        <v>44096</v>
      </c>
      <c r="P13" s="102"/>
      <c r="Q13" s="102"/>
      <c r="R13" s="103"/>
      <c r="S13" s="102"/>
      <c r="T13" s="102"/>
      <c r="U13" s="109"/>
      <c r="V13" s="105"/>
      <c r="W13" s="105"/>
      <c r="X13" s="105"/>
    </row>
    <row r="14" spans="10:24" ht="11.25" customHeight="1" hidden="1">
      <c r="J14" s="93"/>
      <c r="K14" s="106"/>
      <c r="L14" s="106"/>
      <c r="M14" s="106"/>
      <c r="N14" s="106"/>
      <c r="O14" s="110"/>
      <c r="P14" s="102"/>
      <c r="Q14" s="102"/>
      <c r="R14" s="107"/>
      <c r="S14" s="102"/>
      <c r="T14" s="102"/>
      <c r="U14" s="102"/>
      <c r="V14" s="105"/>
      <c r="W14" s="105"/>
      <c r="X14" s="105"/>
    </row>
    <row r="15" spans="2:24" ht="12.75" customHeight="1">
      <c r="B15" s="111"/>
      <c r="C15" s="111"/>
      <c r="D15" s="111"/>
      <c r="E15" s="111"/>
      <c r="F15" s="112"/>
      <c r="G15" s="112"/>
      <c r="H15" s="112"/>
      <c r="J15" s="204" t="str">
        <f>"Дата завершення овердрафту:"</f>
        <v>Дата завершення овердрафту:</v>
      </c>
      <c r="K15" s="204"/>
      <c r="L15" s="204"/>
      <c r="N15" s="106"/>
      <c r="O15" s="38">
        <f>IF(DAY($O$13)&gt;25,DATE(YEAR($O$13)+1,MONTH($O$13),DAY(25)),IF(DAY($O$13)=1,DATE(YEAR($O$13)+1,MONTH($O$13-1),DAY(25)),DATE(YEAR($O$13)+1,MONTH($O$13),DAY($O$13)-1)))</f>
        <v>44460</v>
      </c>
      <c r="P15" s="102"/>
      <c r="Q15" s="102"/>
      <c r="R15" s="107"/>
      <c r="S15" s="102"/>
      <c r="T15" s="102"/>
      <c r="U15" s="102"/>
      <c r="V15" s="102"/>
      <c r="W15" s="102"/>
      <c r="X15" s="102"/>
    </row>
    <row r="16" spans="10:24" ht="3.75" customHeight="1" hidden="1">
      <c r="J16" s="93"/>
      <c r="K16" s="106"/>
      <c r="L16" s="106"/>
      <c r="M16" s="106"/>
      <c r="N16" s="106"/>
      <c r="O16" s="110"/>
      <c r="P16" s="102"/>
      <c r="Q16" s="102"/>
      <c r="R16" s="107"/>
      <c r="S16" s="102"/>
      <c r="T16" s="102"/>
      <c r="U16" s="102"/>
      <c r="V16" s="102"/>
      <c r="W16" s="102"/>
      <c r="X16" s="102"/>
    </row>
    <row r="17" spans="1:24" ht="21.75" customHeight="1">
      <c r="A17" s="113"/>
      <c r="B17" s="205" t="s">
        <v>8</v>
      </c>
      <c r="C17" s="205"/>
      <c r="D17" s="205"/>
      <c r="E17" s="206"/>
      <c r="F17" s="114">
        <v>0</v>
      </c>
      <c r="G17" s="115">
        <v>0</v>
      </c>
      <c r="H17" s="116"/>
      <c r="I17" s="117"/>
      <c r="J17" s="207" t="s">
        <v>7</v>
      </c>
      <c r="K17" s="207"/>
      <c r="L17" s="207"/>
      <c r="M17" s="113"/>
      <c r="N17" s="118"/>
      <c r="O17" s="119">
        <v>12</v>
      </c>
      <c r="P17" s="120">
        <v>12</v>
      </c>
      <c r="Q17" s="120">
        <v>25</v>
      </c>
      <c r="R17" s="121"/>
      <c r="S17" s="122"/>
      <c r="T17" s="122"/>
      <c r="U17" s="102"/>
      <c r="V17" s="102"/>
      <c r="W17" s="102"/>
      <c r="X17" s="102"/>
    </row>
    <row r="18" spans="1:24" ht="12.75" customHeight="1">
      <c r="A18" s="113"/>
      <c r="B18" s="113" t="str">
        <f>"Процента ставка за кредитом"</f>
        <v>Процента ставка за кредитом</v>
      </c>
      <c r="C18" s="113"/>
      <c r="D18" s="113"/>
      <c r="E18" s="113"/>
      <c r="F18" s="123">
        <v>0.2999</v>
      </c>
      <c r="G18" s="124">
        <v>0.2999</v>
      </c>
      <c r="H18" s="125"/>
      <c r="I18" s="117"/>
      <c r="J18" s="208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8" s="208"/>
      <c r="L18" s="208"/>
      <c r="M18" s="113"/>
      <c r="N18" s="126"/>
      <c r="O18" s="127">
        <v>25</v>
      </c>
      <c r="P18" s="122" t="str">
        <f>"числа кожного місяця"</f>
        <v>числа кожного місяця</v>
      </c>
      <c r="Q18" s="122"/>
      <c r="R18" s="128"/>
      <c r="S18" s="122"/>
      <c r="T18" s="122"/>
      <c r="U18" s="102"/>
      <c r="V18" s="102"/>
      <c r="W18" s="102"/>
      <c r="X18" s="102"/>
    </row>
    <row r="19" spans="1:24" ht="11.25" customHeight="1">
      <c r="A19" s="113"/>
      <c r="B19" s="113" t="s">
        <v>13</v>
      </c>
      <c r="C19" s="113"/>
      <c r="D19" s="113"/>
      <c r="E19" s="113"/>
      <c r="F19" s="129">
        <v>1E-06</v>
      </c>
      <c r="G19" s="130">
        <v>1E-06</v>
      </c>
      <c r="H19" s="131"/>
      <c r="I19" s="117"/>
      <c r="J19" s="113"/>
      <c r="K19" s="132"/>
      <c r="L19" s="132"/>
      <c r="M19" s="132"/>
      <c r="N19" s="132"/>
      <c r="O19" s="113"/>
      <c r="P19" s="122"/>
      <c r="Q19" s="122"/>
      <c r="R19" s="121"/>
      <c r="S19" s="122"/>
      <c r="T19" s="122"/>
      <c r="U19" s="102"/>
      <c r="V19" s="102"/>
      <c r="W19" s="102"/>
      <c r="X19" s="102"/>
    </row>
    <row r="20" spans="1:24" ht="12" customHeight="1">
      <c r="A20" s="113"/>
      <c r="B20" s="113" t="str">
        <f>"Метод розрахунку процентів"</f>
        <v>Метод розрахунку процентів</v>
      </c>
      <c r="C20" s="113"/>
      <c r="D20" s="113"/>
      <c r="E20" s="113"/>
      <c r="F20" s="133" t="str">
        <f>"факт/факт"</f>
        <v>факт/факт</v>
      </c>
      <c r="G20" s="134"/>
      <c r="H20" s="134"/>
      <c r="I20" s="117"/>
      <c r="J20" s="135" t="s">
        <v>62</v>
      </c>
      <c r="K20" s="135"/>
      <c r="L20" s="135"/>
      <c r="M20" s="136"/>
      <c r="N20" s="136"/>
      <c r="O20" s="137">
        <f>IF(DAY($O$13)=1,R49,R50)</f>
        <v>12233.132720946507</v>
      </c>
      <c r="P20" s="102" t="s">
        <v>61</v>
      </c>
      <c r="Q20" s="122"/>
      <c r="R20" s="128"/>
      <c r="S20" s="122"/>
      <c r="T20" s="122"/>
      <c r="U20" s="102"/>
      <c r="V20" s="102"/>
      <c r="W20" s="102"/>
      <c r="X20" s="102"/>
    </row>
    <row r="21" spans="1:24" ht="12" customHeight="1">
      <c r="A21" s="113"/>
      <c r="B21" s="113"/>
      <c r="C21" s="113"/>
      <c r="D21" s="113"/>
      <c r="E21" s="113"/>
      <c r="F21" s="134"/>
      <c r="G21" s="134"/>
      <c r="H21" s="134"/>
      <c r="I21" s="117"/>
      <c r="J21" s="135" t="s">
        <v>67</v>
      </c>
      <c r="K21" s="135"/>
      <c r="L21" s="135"/>
      <c r="M21" s="136"/>
      <c r="N21" s="136"/>
      <c r="O21" s="137">
        <f>O20-O11</f>
        <v>2233.132720946507</v>
      </c>
      <c r="P21" s="102" t="s">
        <v>61</v>
      </c>
      <c r="Q21" s="122"/>
      <c r="R21" s="128"/>
      <c r="S21" s="122"/>
      <c r="T21" s="122"/>
      <c r="U21" s="102"/>
      <c r="V21" s="102"/>
      <c r="W21" s="102"/>
      <c r="X21" s="102"/>
    </row>
    <row r="22" spans="1:24" ht="20.25" customHeight="1">
      <c r="A22" s="113"/>
      <c r="B22" s="11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C22" s="113"/>
      <c r="D22" s="113"/>
      <c r="E22" s="113"/>
      <c r="F22" s="117"/>
      <c r="G22" s="117"/>
      <c r="H22" s="117"/>
      <c r="I22" s="117"/>
      <c r="J22" s="135" t="s">
        <v>63</v>
      </c>
      <c r="K22" s="138"/>
      <c r="L22" s="138"/>
      <c r="M22" s="132"/>
      <c r="N22" s="132"/>
      <c r="O22" s="137">
        <f>IF(DAY($O$13)=1,Q49*100,Q50*100)</f>
        <v>37.94036328792571</v>
      </c>
      <c r="P22" s="102" t="s">
        <v>64</v>
      </c>
      <c r="Q22" s="122"/>
      <c r="R22" s="122"/>
      <c r="S22" s="122"/>
      <c r="T22" s="122"/>
      <c r="U22" s="102"/>
      <c r="V22" s="102"/>
      <c r="W22" s="102"/>
      <c r="X22" s="102"/>
    </row>
    <row r="23" spans="1:27" ht="9" customHeight="1">
      <c r="A23" s="113"/>
      <c r="B23" s="209" t="s">
        <v>66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113"/>
      <c r="T23" s="113"/>
      <c r="V23" s="100"/>
      <c r="W23" s="100"/>
      <c r="X23" s="139"/>
      <c r="Y23" s="100"/>
      <c r="Z23" s="100"/>
      <c r="AA23" s="100"/>
    </row>
    <row r="24" spans="1:27" ht="11.25" customHeight="1">
      <c r="A24" s="113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113"/>
      <c r="T24" s="113"/>
      <c r="V24" s="100"/>
      <c r="W24" s="100"/>
      <c r="X24" s="139"/>
      <c r="Y24" s="100"/>
      <c r="Z24" s="100"/>
      <c r="AA24" s="100"/>
    </row>
    <row r="25" spans="1:27" ht="9.75" customHeight="1">
      <c r="A25" s="113"/>
      <c r="B25" s="113" t="s">
        <v>9</v>
      </c>
      <c r="C25" s="113"/>
      <c r="D25" s="113"/>
      <c r="E25" s="113"/>
      <c r="F25" s="140"/>
      <c r="G25" s="140"/>
      <c r="H25" s="140"/>
      <c r="I25" s="140"/>
      <c r="J25" s="113"/>
      <c r="K25" s="113"/>
      <c r="L25" s="113"/>
      <c r="M25" s="113"/>
      <c r="N25" s="113"/>
      <c r="O25" s="113"/>
      <c r="P25" s="113"/>
      <c r="Q25" s="113"/>
      <c r="R25" s="141"/>
      <c r="S25" s="113"/>
      <c r="T25" s="113"/>
      <c r="V25" s="100"/>
      <c r="W25" s="100"/>
      <c r="X25" s="100"/>
      <c r="Y25" s="100"/>
      <c r="Z25" s="100"/>
      <c r="AA25" s="100"/>
    </row>
    <row r="26" spans="1:20" ht="11.25">
      <c r="A26" s="113"/>
      <c r="B26" s="113" t="s">
        <v>12</v>
      </c>
      <c r="C26" s="113"/>
      <c r="D26" s="113"/>
      <c r="E26" s="113"/>
      <c r="F26" s="140"/>
      <c r="G26" s="140"/>
      <c r="H26" s="140"/>
      <c r="I26" s="140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</row>
    <row r="27" spans="1:20" ht="21.75" customHeight="1">
      <c r="A27" s="113"/>
      <c r="B27" s="210" t="s">
        <v>14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113"/>
      <c r="T27" s="113"/>
    </row>
    <row r="28" spans="1:20" ht="11.25" customHeight="1">
      <c r="A28" s="113"/>
      <c r="B28" s="199" t="str">
        <f>IF(F18=25%,"","Комісія за видачу готівкових кредитних коштів в установах та банкоматах  АБ  УКРГАЗБАНК від суми видачі готівки")</f>
        <v>Комісія за видачу готівкових кредитних коштів в установах та банкоматах  АБ  УКРГАЗБАНК від суми видачі готівки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42">
        <v>0.04</v>
      </c>
      <c r="P28" s="143"/>
      <c r="Q28" s="144"/>
      <c r="R28" s="113"/>
      <c r="S28" s="113"/>
      <c r="T28" s="113"/>
    </row>
    <row r="29" spans="1:20" ht="24" customHeight="1">
      <c r="A29" s="113"/>
      <c r="B29" s="199" t="s">
        <v>15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45">
        <v>0</v>
      </c>
      <c r="P29" s="143"/>
      <c r="Q29" s="145"/>
      <c r="R29" s="113"/>
      <c r="S29" s="113"/>
      <c r="T29" s="113"/>
    </row>
    <row r="30" spans="1:20" ht="17.25" customHeight="1">
      <c r="A30" s="200" t="s">
        <v>55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113"/>
      <c r="T30" s="113"/>
    </row>
    <row r="31" spans="1:20" ht="13.5" customHeight="1">
      <c r="A31" s="187" t="s">
        <v>27</v>
      </c>
      <c r="B31" s="187" t="s">
        <v>33</v>
      </c>
      <c r="C31" s="187" t="s">
        <v>32</v>
      </c>
      <c r="D31" s="190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197" t="s">
        <v>37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201" t="s">
        <v>52</v>
      </c>
      <c r="R31" s="190" t="s">
        <v>53</v>
      </c>
      <c r="S31" s="146" t="s">
        <v>2</v>
      </c>
      <c r="T31" s="146"/>
    </row>
    <row r="32" spans="1:20" ht="14.25" customHeight="1">
      <c r="A32" s="188"/>
      <c r="B32" s="188"/>
      <c r="C32" s="188"/>
      <c r="D32" s="191"/>
      <c r="E32" s="187" t="s">
        <v>34</v>
      </c>
      <c r="F32" s="190" t="s">
        <v>36</v>
      </c>
      <c r="G32" s="193" t="s">
        <v>56</v>
      </c>
      <c r="H32" s="194"/>
      <c r="I32" s="194"/>
      <c r="J32" s="194"/>
      <c r="K32" s="194"/>
      <c r="L32" s="194"/>
      <c r="M32" s="194"/>
      <c r="N32" s="194"/>
      <c r="O32" s="194"/>
      <c r="P32" s="194"/>
      <c r="Q32" s="202"/>
      <c r="R32" s="191"/>
      <c r="S32" s="132"/>
      <c r="T32" s="113"/>
    </row>
    <row r="33" spans="1:20" ht="21" customHeight="1">
      <c r="A33" s="188"/>
      <c r="B33" s="188"/>
      <c r="C33" s="188"/>
      <c r="D33" s="191"/>
      <c r="E33" s="188"/>
      <c r="F33" s="191"/>
      <c r="G33" s="195" t="s">
        <v>17</v>
      </c>
      <c r="H33" s="196"/>
      <c r="I33" s="196"/>
      <c r="J33" s="196"/>
      <c r="K33" s="197" t="s">
        <v>19</v>
      </c>
      <c r="L33" s="198"/>
      <c r="M33" s="195" t="s">
        <v>22</v>
      </c>
      <c r="N33" s="196"/>
      <c r="O33" s="196"/>
      <c r="P33" s="196"/>
      <c r="Q33" s="202"/>
      <c r="R33" s="191"/>
      <c r="S33" s="132"/>
      <c r="T33" s="113"/>
    </row>
    <row r="34" spans="1:20" ht="56.25" customHeight="1">
      <c r="A34" s="189"/>
      <c r="B34" s="189"/>
      <c r="C34" s="189"/>
      <c r="D34" s="192"/>
      <c r="E34" s="189"/>
      <c r="F34" s="192"/>
      <c r="G34" s="147" t="s">
        <v>18</v>
      </c>
      <c r="H34" s="148" t="s">
        <v>59</v>
      </c>
      <c r="I34" s="147" t="s">
        <v>60</v>
      </c>
      <c r="J34" s="149" t="s">
        <v>41</v>
      </c>
      <c r="K34" s="150" t="s">
        <v>20</v>
      </c>
      <c r="L34" s="150" t="s">
        <v>21</v>
      </c>
      <c r="M34" s="151" t="s">
        <v>23</v>
      </c>
      <c r="N34" s="151" t="s">
        <v>24</v>
      </c>
      <c r="O34" s="151" t="s">
        <v>25</v>
      </c>
      <c r="P34" s="152" t="s">
        <v>48</v>
      </c>
      <c r="Q34" s="203"/>
      <c r="R34" s="192"/>
      <c r="S34" s="132"/>
      <c r="T34" s="113"/>
    </row>
    <row r="35" spans="1:20" ht="11.25" customHeight="1">
      <c r="A35" s="183">
        <v>1</v>
      </c>
      <c r="B35" s="183" t="s">
        <v>28</v>
      </c>
      <c r="C35" s="185" t="s">
        <v>29</v>
      </c>
      <c r="D35" s="183" t="s">
        <v>30</v>
      </c>
      <c r="E35" s="185" t="s">
        <v>31</v>
      </c>
      <c r="F35" s="183" t="s">
        <v>35</v>
      </c>
      <c r="G35" s="181" t="s">
        <v>26</v>
      </c>
      <c r="H35" s="181" t="s">
        <v>38</v>
      </c>
      <c r="I35" s="181" t="s">
        <v>39</v>
      </c>
      <c r="J35" s="181" t="s">
        <v>40</v>
      </c>
      <c r="K35" s="181" t="s">
        <v>42</v>
      </c>
      <c r="L35" s="181" t="s">
        <v>43</v>
      </c>
      <c r="M35" s="181" t="s">
        <v>44</v>
      </c>
      <c r="N35" s="181" t="s">
        <v>45</v>
      </c>
      <c r="O35" s="181" t="s">
        <v>46</v>
      </c>
      <c r="P35" s="181" t="s">
        <v>47</v>
      </c>
      <c r="Q35" s="153" t="s">
        <v>50</v>
      </c>
      <c r="R35" s="153" t="s">
        <v>51</v>
      </c>
      <c r="S35" s="113"/>
      <c r="T35" s="113"/>
    </row>
    <row r="36" spans="1:20" ht="11.25" customHeight="1">
      <c r="A36" s="184"/>
      <c r="B36" s="184"/>
      <c r="C36" s="186"/>
      <c r="D36" s="184"/>
      <c r="E36" s="186"/>
      <c r="F36" s="184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54"/>
      <c r="R36" s="154"/>
      <c r="S36" s="113"/>
      <c r="T36" s="113"/>
    </row>
    <row r="37" spans="1:20" s="162" customFormat="1" ht="13.5" customHeight="1">
      <c r="A37" s="155">
        <v>1</v>
      </c>
      <c r="B37" s="156">
        <f>DATE(YEAR($O$13),MONTH($O$13),DAY($O$13))</f>
        <v>44096</v>
      </c>
      <c r="C37" s="157" t="s">
        <v>1</v>
      </c>
      <c r="D37" s="158">
        <f>E37+SUM(G37:P37)</f>
        <v>-9600</v>
      </c>
      <c r="E37" s="159">
        <f>-O11</f>
        <v>-10000</v>
      </c>
      <c r="F37" s="155" t="s">
        <v>1</v>
      </c>
      <c r="G37" s="158">
        <v>0</v>
      </c>
      <c r="H37" s="158">
        <v>0</v>
      </c>
      <c r="I37" s="158">
        <v>0</v>
      </c>
      <c r="J37" s="159">
        <f>IF($B$2=1,$O$11*$O$28,0)</f>
        <v>400</v>
      </c>
      <c r="K37" s="158">
        <v>0</v>
      </c>
      <c r="L37" s="159">
        <v>0</v>
      </c>
      <c r="M37" s="159">
        <v>0</v>
      </c>
      <c r="N37" s="159">
        <v>0</v>
      </c>
      <c r="O37" s="158" t="s">
        <v>16</v>
      </c>
      <c r="P37" s="159">
        <v>0</v>
      </c>
      <c r="Q37" s="160" t="str">
        <f>IF(OR($B48="Усього",$B48=""),"",IF($S37=0,_XLL.ЧИСТВНДОХ(D36:D$37,B36:B$37,0.2),"Х"))</f>
        <v>Х</v>
      </c>
      <c r="R37" s="155" t="s">
        <v>1</v>
      </c>
      <c r="S37" s="161">
        <f>-E37</f>
        <v>10000</v>
      </c>
      <c r="T37" s="161"/>
    </row>
    <row r="38" spans="1:20" ht="11.25">
      <c r="A38" s="155">
        <v>2</v>
      </c>
      <c r="B38" s="163">
        <f aca="true" t="shared" si="0" ref="B38:B48">DATE(YEAR(B37),MONTH(B37)+1,DAY($O$18))</f>
        <v>44129</v>
      </c>
      <c r="C38" s="164">
        <f aca="true" t="shared" si="1" ref="C38:C48">B38-B37</f>
        <v>33</v>
      </c>
      <c r="D38" s="158">
        <f>IF($S37=0,SUM(D37:D$38),SUM(E38:P38))</f>
        <v>724.5819672131149</v>
      </c>
      <c r="E38" s="159">
        <f>-E37*7%</f>
        <v>700.0000000000001</v>
      </c>
      <c r="F38" s="158">
        <f>IF(B38-B37&lt;30,0,(S37*($F$18))*((B38-B37)-30)/(DATE(YEAR(B38)+1,1,1)-DATE(YEAR(B38),1,1)))</f>
        <v>24.581967213114755</v>
      </c>
      <c r="G38" s="158">
        <v>0</v>
      </c>
      <c r="H38" s="158">
        <v>0</v>
      </c>
      <c r="I38" s="158">
        <v>0</v>
      </c>
      <c r="J38" s="158">
        <f>IF(OR($B37="Усього",$B37=""),"",IF($S37=0,SUM(J$37:J37),0))</f>
        <v>0</v>
      </c>
      <c r="K38" s="158">
        <v>0</v>
      </c>
      <c r="L38" s="159">
        <v>0</v>
      </c>
      <c r="M38" s="159">
        <v>0</v>
      </c>
      <c r="N38" s="159">
        <v>0</v>
      </c>
      <c r="O38" s="158">
        <f>S37*O29</f>
        <v>0</v>
      </c>
      <c r="P38" s="159">
        <v>0</v>
      </c>
      <c r="Q38" s="165" t="str">
        <f>IF($O$11&lt;=0,0,IF($S37=0,0,"Х"))</f>
        <v>Х</v>
      </c>
      <c r="R38" s="166" t="str">
        <f aca="true" t="shared" si="2" ref="R38:R48">IF(OR($B37="Усього",$B37=""),"",IF($S37=0,SUM(F38:P38),"Х"))</f>
        <v>Х</v>
      </c>
      <c r="S38" s="167">
        <f aca="true" t="shared" si="3" ref="S38:S49">IF($S37=0,"",IF(DATE(YEAR(B37),MONTH(B37)+1,DAY($O$17))&gt;$O$15,0,S37-E38))</f>
        <v>9300</v>
      </c>
      <c r="T38" s="168">
        <f aca="true" t="shared" si="4" ref="T38:T48">IF(AND(B38&lt;=B37,B38&lt;&gt;""),"Невідповідність дат","")</f>
      </c>
    </row>
    <row r="39" spans="1:20" ht="11.25">
      <c r="A39" s="155">
        <v>3</v>
      </c>
      <c r="B39" s="163">
        <f t="shared" si="0"/>
        <v>44160</v>
      </c>
      <c r="C39" s="164">
        <f t="shared" si="1"/>
        <v>31</v>
      </c>
      <c r="D39" s="158">
        <f>IF($S38=0,SUM(D38:D$38),SUM(E39:P39))</f>
        <v>885.5119672131149</v>
      </c>
      <c r="E39" s="159">
        <f>S38*7%</f>
        <v>651.0000000000001</v>
      </c>
      <c r="F39" s="159">
        <f>IF(B39-B37&lt;30,0,(S38*($F$18))*((B39-B37)-30)/(DATE(YEAR(B38)+1,1,1)-DATE(YEAR(B38),1,1))-F38)</f>
        <v>234.51196721311476</v>
      </c>
      <c r="G39" s="158">
        <v>0</v>
      </c>
      <c r="H39" s="158">
        <v>0</v>
      </c>
      <c r="I39" s="158">
        <v>0</v>
      </c>
      <c r="J39" s="158">
        <f>IF(OR($B38="Усього",$B38=""),"",IF($S38=0,SUM(J$37:J38),0))</f>
        <v>0</v>
      </c>
      <c r="K39" s="158">
        <v>0</v>
      </c>
      <c r="L39" s="159">
        <v>0</v>
      </c>
      <c r="M39" s="159">
        <v>0</v>
      </c>
      <c r="N39" s="159">
        <v>0</v>
      </c>
      <c r="O39" s="158">
        <f>S38*O29</f>
        <v>0</v>
      </c>
      <c r="P39" s="159">
        <v>0</v>
      </c>
      <c r="Q39" s="165" t="str">
        <f>IF(OR($B38="Усього",$B38=""),"",IF($S38=0,_XLL.ЧИСТВНДОХ(D$37:D38,B$37:B38,0.2),"Х"))</f>
        <v>Х</v>
      </c>
      <c r="R39" s="166" t="str">
        <f t="shared" si="2"/>
        <v>Х</v>
      </c>
      <c r="S39" s="167">
        <f t="shared" si="3"/>
        <v>8649</v>
      </c>
      <c r="T39" s="168">
        <f t="shared" si="4"/>
      </c>
    </row>
    <row r="40" spans="1:20" ht="14.25" customHeight="1">
      <c r="A40" s="155">
        <v>4</v>
      </c>
      <c r="B40" s="163">
        <f t="shared" si="0"/>
        <v>44190</v>
      </c>
      <c r="C40" s="164">
        <f t="shared" si="1"/>
        <v>30</v>
      </c>
      <c r="D40" s="158">
        <f>IF($S39=0,SUM(D$38:D39),SUM(E40:P40))</f>
        <v>818.0394344262296</v>
      </c>
      <c r="E40" s="159">
        <f aca="true" t="shared" si="5" ref="E40:E47">S39*7%</f>
        <v>605.4300000000001</v>
      </c>
      <c r="F40" s="158">
        <f>IF(OR($B39="Усього",$B39=""),"",IF($S39=0,SUM(F$38:F40),S39*($F$18)*(B40-B39)/(DATE(YEAR(B38)+1,1,1)-DATE(YEAR(B38),1,1))))</f>
        <v>212.6094344262295</v>
      </c>
      <c r="G40" s="158">
        <v>0</v>
      </c>
      <c r="H40" s="158">
        <v>0</v>
      </c>
      <c r="I40" s="158">
        <v>0</v>
      </c>
      <c r="J40" s="158">
        <f>IF(OR($B39="Усього",$B39=""),"",IF($S39=0,SUM(J$37:J39),0))</f>
        <v>0</v>
      </c>
      <c r="K40" s="158">
        <v>0</v>
      </c>
      <c r="L40" s="159">
        <v>0</v>
      </c>
      <c r="M40" s="159">
        <v>0</v>
      </c>
      <c r="N40" s="159">
        <v>0</v>
      </c>
      <c r="O40" s="158">
        <f>S39*O29</f>
        <v>0</v>
      </c>
      <c r="P40" s="159">
        <v>0</v>
      </c>
      <c r="Q40" s="165" t="str">
        <f>IF(OR($B39="Усього",$B39=""),"",IF($S39=0,_XLL.ЧИСТВНДОХ(D$37:D39,B$37:B39,0.2),"Х"))</f>
        <v>Х</v>
      </c>
      <c r="R40" s="166" t="str">
        <f t="shared" si="2"/>
        <v>Х</v>
      </c>
      <c r="S40" s="167">
        <f t="shared" si="3"/>
        <v>8043.57</v>
      </c>
      <c r="T40" s="168">
        <f t="shared" si="4"/>
      </c>
    </row>
    <row r="41" spans="1:20" ht="11.25">
      <c r="A41" s="155">
        <v>5</v>
      </c>
      <c r="B41" s="163">
        <f t="shared" si="0"/>
        <v>44221</v>
      </c>
      <c r="C41" s="164">
        <f t="shared" si="1"/>
        <v>31</v>
      </c>
      <c r="D41" s="158">
        <f>IF($S40=0,SUM(D$38:D40),SUM(E41:P41))</f>
        <v>767.3675664836065</v>
      </c>
      <c r="E41" s="159">
        <f t="shared" si="5"/>
        <v>563.0499</v>
      </c>
      <c r="F41" s="158">
        <f>IF(OR($B40="Усього",$B40=""),"",IF($S40=0,SUM(F$38:F41),S40*($F$18)*(B41-B40)/(DATE(YEAR(B39)+1,1,1)-DATE(YEAR(B39),1,1))))</f>
        <v>204.31766648360656</v>
      </c>
      <c r="G41" s="158">
        <v>0</v>
      </c>
      <c r="H41" s="158">
        <v>0</v>
      </c>
      <c r="I41" s="158">
        <v>0</v>
      </c>
      <c r="J41" s="158">
        <f>IF(OR($B40="Усього",$B40=""),"",IF($S40=0,SUM(J$37:J40),0))</f>
        <v>0</v>
      </c>
      <c r="K41" s="158">
        <v>0</v>
      </c>
      <c r="L41" s="159">
        <v>0</v>
      </c>
      <c r="M41" s="159">
        <v>0</v>
      </c>
      <c r="N41" s="159">
        <v>0</v>
      </c>
      <c r="O41" s="158">
        <f>S40*O29</f>
        <v>0</v>
      </c>
      <c r="P41" s="159">
        <v>0</v>
      </c>
      <c r="Q41" s="165" t="str">
        <f>IF(OR($B40="Усього",$B40=""),"",IF($S40=0,_XLL.ЧИСТВНДОХ(D$37:D40,B$37:B40,0.2),"Х"))</f>
        <v>Х</v>
      </c>
      <c r="R41" s="166" t="str">
        <f t="shared" si="2"/>
        <v>Х</v>
      </c>
      <c r="S41" s="167">
        <f t="shared" si="3"/>
        <v>7480.5201</v>
      </c>
      <c r="T41" s="168">
        <f t="shared" si="4"/>
      </c>
    </row>
    <row r="42" spans="1:20" ht="11.25">
      <c r="A42" s="155">
        <v>6</v>
      </c>
      <c r="B42" s="163">
        <f t="shared" si="0"/>
        <v>44252</v>
      </c>
      <c r="C42" s="164">
        <f t="shared" si="1"/>
        <v>31</v>
      </c>
      <c r="D42" s="158">
        <f>IF($S41=0,SUM(D$38:D41),SUM(E42:P42))</f>
        <v>713.6518368297541</v>
      </c>
      <c r="E42" s="159">
        <f t="shared" si="5"/>
        <v>523.6364070000001</v>
      </c>
      <c r="F42" s="158">
        <f>IF(OR($B41="Усього",$B41=""),"",IF($S41=0,SUM(F$38:F42),S41*($F$18)*(B42-B41)/(DATE(YEAR(B40)+1,1,1)-DATE(YEAR(B40),1,1))))</f>
        <v>190.01542982975405</v>
      </c>
      <c r="G42" s="158">
        <v>0</v>
      </c>
      <c r="H42" s="158">
        <v>0</v>
      </c>
      <c r="I42" s="158">
        <v>0</v>
      </c>
      <c r="J42" s="158">
        <f>IF(OR($B41="Усього",$B41=""),"",IF($S41=0,SUM(J$37:J41),0))</f>
        <v>0</v>
      </c>
      <c r="K42" s="158">
        <v>0</v>
      </c>
      <c r="L42" s="159">
        <v>0</v>
      </c>
      <c r="M42" s="159">
        <v>0</v>
      </c>
      <c r="N42" s="159">
        <v>0</v>
      </c>
      <c r="O42" s="158">
        <f>S41*O29</f>
        <v>0</v>
      </c>
      <c r="P42" s="159">
        <v>0</v>
      </c>
      <c r="Q42" s="165" t="str">
        <f>IF(OR($B41="Усього",$B41=""),"",IF($S41=0,_XLL.ЧИСТВНДОХ(D$37:D41,B$37:B41,0.2),"Х"))</f>
        <v>Х</v>
      </c>
      <c r="R42" s="166" t="str">
        <f t="shared" si="2"/>
        <v>Х</v>
      </c>
      <c r="S42" s="167">
        <f t="shared" si="3"/>
        <v>6956.883693</v>
      </c>
      <c r="T42" s="168">
        <f t="shared" si="4"/>
      </c>
    </row>
    <row r="43" spans="1:21" ht="11.25">
      <c r="A43" s="155">
        <v>7</v>
      </c>
      <c r="B43" s="163">
        <f t="shared" si="0"/>
        <v>44280</v>
      </c>
      <c r="C43" s="164">
        <f t="shared" si="1"/>
        <v>28</v>
      </c>
      <c r="D43" s="158">
        <f>IF($S42=0,SUM(D$38:D42),SUM(E43:P43))</f>
        <v>647.0321153507113</v>
      </c>
      <c r="E43" s="159">
        <f>S42*7%</f>
        <v>486.98185851000005</v>
      </c>
      <c r="F43" s="158">
        <f>IF(OR($B42="Усього",$B42=""),"",IF($S42=0,SUM(F$38:F43),S42*($F$18)*(B43-B42)/(DATE(YEAR(B41)+1,1,1)-DATE(YEAR(B41),1,1))))</f>
        <v>160.05025684071123</v>
      </c>
      <c r="G43" s="158">
        <v>0</v>
      </c>
      <c r="H43" s="158">
        <v>0</v>
      </c>
      <c r="I43" s="158">
        <v>0</v>
      </c>
      <c r="J43" s="158">
        <f>IF(OR($B42="Усього",$B42=""),"",IF($S42=0,SUM(J$37:J42),0))</f>
        <v>0</v>
      </c>
      <c r="K43" s="158">
        <v>0</v>
      </c>
      <c r="L43" s="159">
        <v>0</v>
      </c>
      <c r="M43" s="159">
        <v>0</v>
      </c>
      <c r="N43" s="159">
        <v>0</v>
      </c>
      <c r="O43" s="158">
        <f>S42*O29</f>
        <v>0</v>
      </c>
      <c r="P43" s="159">
        <v>0</v>
      </c>
      <c r="Q43" s="165" t="str">
        <f>IF(OR($B42="Усього",$B42=""),"",IF($S42=0,_XLL.ЧИСТВНДОХ(D$37:D42,B$37:B42,0.2),"Х"))</f>
        <v>Х</v>
      </c>
      <c r="R43" s="166" t="str">
        <f t="shared" si="2"/>
        <v>Х</v>
      </c>
      <c r="S43" s="167">
        <f t="shared" si="3"/>
        <v>6469.90183449</v>
      </c>
      <c r="T43" s="168">
        <f t="shared" si="4"/>
      </c>
      <c r="U43" s="169"/>
    </row>
    <row r="44" spans="1:20" ht="11.25">
      <c r="A44" s="155">
        <v>8</v>
      </c>
      <c r="B44" s="163">
        <f t="shared" si="0"/>
        <v>44311</v>
      </c>
      <c r="C44" s="164">
        <f t="shared" si="1"/>
        <v>31</v>
      </c>
      <c r="D44" s="158">
        <f>IF($S43=0,SUM(D$38:D43),SUM(E44:P44))</f>
        <v>617.687732154218</v>
      </c>
      <c r="E44" s="159">
        <f t="shared" si="5"/>
        <v>452.8931284143</v>
      </c>
      <c r="F44" s="158">
        <f>IF(OR($B43="Усього",$B43=""),"",IF($S43=0,SUM(F$38:F44),S43*($F$18)*(B44-B43)/(DATE(YEAR(B42)+1,1,1)-DATE(YEAR(B42),1,1))))</f>
        <v>164.79460373991802</v>
      </c>
      <c r="G44" s="158">
        <v>0</v>
      </c>
      <c r="H44" s="158">
        <v>0</v>
      </c>
      <c r="I44" s="158">
        <v>0</v>
      </c>
      <c r="J44" s="158">
        <f>IF(OR($B43="Усього",$B43=""),"",IF($S43=0,SUM(J$37:J43),0))</f>
        <v>0</v>
      </c>
      <c r="K44" s="158">
        <v>0</v>
      </c>
      <c r="L44" s="159">
        <v>0</v>
      </c>
      <c r="M44" s="159">
        <v>0</v>
      </c>
      <c r="N44" s="159">
        <v>0</v>
      </c>
      <c r="O44" s="158">
        <f>S43*O29</f>
        <v>0</v>
      </c>
      <c r="P44" s="159">
        <v>0</v>
      </c>
      <c r="Q44" s="165" t="str">
        <f>IF(OR($B43="Усього",$B43=""),"",IF($S43=0,_XLL.ЧИСТВНДОХ(D$37:D43,B$37:B43,0.2),"Х"))</f>
        <v>Х</v>
      </c>
      <c r="R44" s="166" t="str">
        <f t="shared" si="2"/>
        <v>Х</v>
      </c>
      <c r="S44" s="167">
        <f t="shared" si="3"/>
        <v>6017.0087060757</v>
      </c>
      <c r="T44" s="168">
        <f t="shared" si="4"/>
      </c>
    </row>
    <row r="45" spans="1:20" ht="11.25">
      <c r="A45" s="155">
        <v>9</v>
      </c>
      <c r="B45" s="163">
        <f t="shared" si="0"/>
        <v>44341</v>
      </c>
      <c r="C45" s="164">
        <f t="shared" si="1"/>
        <v>30</v>
      </c>
      <c r="D45" s="158">
        <f>IF($S44=0,SUM(D$38:D44),SUM(E45:P45))</f>
        <v>569.5057527912252</v>
      </c>
      <c r="E45" s="159">
        <f t="shared" si="5"/>
        <v>421.190609425299</v>
      </c>
      <c r="F45" s="158">
        <f>IF(OR($B44="Усього",$B44=""),"",IF($S44=0,SUM(F$38:F45),S44*($F$18)*(B45-B44)/(DATE(YEAR(B43)+1,1,1)-DATE(YEAR(B43),1,1))))</f>
        <v>148.31514336592622</v>
      </c>
      <c r="G45" s="158">
        <v>0</v>
      </c>
      <c r="H45" s="158">
        <v>0</v>
      </c>
      <c r="I45" s="158">
        <v>0</v>
      </c>
      <c r="J45" s="158">
        <f>IF(OR($B44="Усього",$B44=""),"",IF($S44=0,SUM(J$37:J44),0))</f>
        <v>0</v>
      </c>
      <c r="K45" s="158">
        <v>0</v>
      </c>
      <c r="L45" s="159">
        <v>0</v>
      </c>
      <c r="M45" s="159">
        <v>0</v>
      </c>
      <c r="N45" s="159">
        <v>0</v>
      </c>
      <c r="O45" s="158">
        <f>S44*O29</f>
        <v>0</v>
      </c>
      <c r="P45" s="159">
        <v>0</v>
      </c>
      <c r="Q45" s="165" t="str">
        <f>IF(OR($B44="Усього",$B44=""),"",IF($S44=0,_XLL.ЧИСТВНДОХ(D$37:D44,B$37:B44,0.2),"Х"))</f>
        <v>Х</v>
      </c>
      <c r="R45" s="166" t="str">
        <f t="shared" si="2"/>
        <v>Х</v>
      </c>
      <c r="S45" s="167">
        <f t="shared" si="3"/>
        <v>5595.818096650401</v>
      </c>
      <c r="T45" s="168">
        <f t="shared" si="4"/>
      </c>
    </row>
    <row r="46" spans="1:20" ht="11.25">
      <c r="A46" s="155">
        <v>10</v>
      </c>
      <c r="B46" s="163">
        <f t="shared" si="0"/>
        <v>44372</v>
      </c>
      <c r="C46" s="164">
        <f t="shared" si="1"/>
        <v>31</v>
      </c>
      <c r="D46" s="158">
        <f>IF($S45=0,SUM(D$38:D45),SUM(E46:P46))</f>
        <v>534.2381195401831</v>
      </c>
      <c r="E46" s="159">
        <f t="shared" si="5"/>
        <v>391.70726676552806</v>
      </c>
      <c r="F46" s="158">
        <f>IF(OR($B45="Усього",$B45=""),"",IF($S45=0,SUM(F$38:F46),S45*($F$18)*(B46-B45)/(DATE(YEAR(B44)+1,1,1)-DATE(YEAR(B44),1,1))))</f>
        <v>142.53085277465507</v>
      </c>
      <c r="G46" s="158">
        <v>0</v>
      </c>
      <c r="H46" s="158">
        <v>0</v>
      </c>
      <c r="I46" s="158">
        <v>0</v>
      </c>
      <c r="J46" s="158">
        <f>IF(OR($B45="Усього",$B45=""),"",IF($S45=0,SUM(J$37:J45),0))</f>
        <v>0</v>
      </c>
      <c r="K46" s="158">
        <v>0</v>
      </c>
      <c r="L46" s="159">
        <v>0</v>
      </c>
      <c r="M46" s="159">
        <v>0</v>
      </c>
      <c r="N46" s="159">
        <v>0</v>
      </c>
      <c r="O46" s="158">
        <f>S45*O29</f>
        <v>0</v>
      </c>
      <c r="P46" s="159">
        <v>0</v>
      </c>
      <c r="Q46" s="165" t="str">
        <f>IF(OR($B45="Усього",$B45=""),"",IF($S45=0,_XLL.ЧИСТВНДОХ(D$37:D45,B$37:B45,0.2),"Х"))</f>
        <v>Х</v>
      </c>
      <c r="R46" s="166" t="str">
        <f t="shared" si="2"/>
        <v>Х</v>
      </c>
      <c r="S46" s="167">
        <f t="shared" si="3"/>
        <v>5204.110829884872</v>
      </c>
      <c r="T46" s="168">
        <f t="shared" si="4"/>
      </c>
    </row>
    <row r="47" spans="1:20" ht="11.25">
      <c r="A47" s="155">
        <v>11</v>
      </c>
      <c r="B47" s="163">
        <f t="shared" si="0"/>
        <v>44402</v>
      </c>
      <c r="C47" s="164">
        <f t="shared" si="1"/>
        <v>30</v>
      </c>
      <c r="D47" s="158">
        <f>IF($S46=0,SUM(D$38:D46),SUM(E47:P47))</f>
        <v>492.56552558913063</v>
      </c>
      <c r="E47" s="159">
        <f t="shared" si="5"/>
        <v>364.2877580919411</v>
      </c>
      <c r="F47" s="158">
        <f>IF(OR($B46="Усього",$B46=""),"",IF($S46=0,SUM(F$38:F47),S46*($F$18)*(B47-B46)/(DATE(YEAR(B45)+1,1,1)-DATE(YEAR(B45),1,1))))</f>
        <v>128.27776749718956</v>
      </c>
      <c r="G47" s="158">
        <v>0</v>
      </c>
      <c r="H47" s="158">
        <v>0</v>
      </c>
      <c r="I47" s="158">
        <v>0</v>
      </c>
      <c r="J47" s="158">
        <f>IF(OR($B46="Усього",$B46=""),"",IF($S46=0,SUM(J$37:J46),0))</f>
        <v>0</v>
      </c>
      <c r="K47" s="158">
        <v>0</v>
      </c>
      <c r="L47" s="159">
        <v>0</v>
      </c>
      <c r="M47" s="159">
        <v>0</v>
      </c>
      <c r="N47" s="159">
        <v>0</v>
      </c>
      <c r="O47" s="158">
        <f>S46*O29</f>
        <v>0</v>
      </c>
      <c r="P47" s="159">
        <v>0</v>
      </c>
      <c r="Q47" s="165" t="str">
        <f>IF(OR($B46="Усього",$B46=""),"",IF($S46=0,_XLL.ЧИСТВНДОХ(D$37:D46,B$37:B46,0.2),"Х"))</f>
        <v>Х</v>
      </c>
      <c r="R47" s="166" t="str">
        <f t="shared" si="2"/>
        <v>Х</v>
      </c>
      <c r="S47" s="167">
        <f t="shared" si="3"/>
        <v>4839.823071792931</v>
      </c>
      <c r="T47" s="168">
        <f t="shared" si="4"/>
      </c>
    </row>
    <row r="48" spans="1:20" ht="11.25">
      <c r="A48" s="155">
        <v>12</v>
      </c>
      <c r="B48" s="163">
        <f t="shared" si="0"/>
        <v>44433</v>
      </c>
      <c r="C48" s="164">
        <f t="shared" si="1"/>
        <v>31</v>
      </c>
      <c r="D48" s="158">
        <f>IF($S47=0,SUM(D$38:D47),SUM(E48:P48))</f>
        <v>462.06254959030434</v>
      </c>
      <c r="E48" s="158">
        <f>IF(B48=$O$15,S47,S47*7%)</f>
        <v>338.7876150255052</v>
      </c>
      <c r="F48" s="158">
        <f>IF(OR($B47="Усього",$B47=""),"",IF($S47=0,SUM(F$38:F48),S47*($F$18)*(B48-B47)/(DATE(YEAR(B46)+1,1,1)-DATE(YEAR(B46),1,1))))</f>
        <v>123.27493456479917</v>
      </c>
      <c r="G48" s="158">
        <v>0</v>
      </c>
      <c r="H48" s="158">
        <v>0</v>
      </c>
      <c r="I48" s="158">
        <v>0</v>
      </c>
      <c r="J48" s="158">
        <f>IF(OR($B47="Усього",$B47=""),"",IF($S47=0,SUM(J$37:J47),0))</f>
        <v>0</v>
      </c>
      <c r="K48" s="158">
        <v>0</v>
      </c>
      <c r="L48" s="159">
        <v>0</v>
      </c>
      <c r="M48" s="159">
        <v>0</v>
      </c>
      <c r="N48" s="159">
        <v>0</v>
      </c>
      <c r="O48" s="158">
        <f>S47*O29</f>
        <v>0</v>
      </c>
      <c r="P48" s="159">
        <v>0</v>
      </c>
      <c r="Q48" s="165" t="str">
        <f>IF(OR($B47="Усього",$B47=""),"",IF($S47=0,_XLL.ЧИСТВНДОХ(D$37:D47,B$37:B47,0.2),"Х"))</f>
        <v>Х</v>
      </c>
      <c r="R48" s="166" t="str">
        <f t="shared" si="2"/>
        <v>Х</v>
      </c>
      <c r="S48" s="167">
        <f t="shared" si="3"/>
        <v>4501.035456767426</v>
      </c>
      <c r="T48" s="168">
        <f t="shared" si="4"/>
      </c>
    </row>
    <row r="49" spans="1:20" s="102" customFormat="1" ht="11.25">
      <c r="A49" s="170" t="str">
        <f>IF(DAY($O$13)=1,"","13")</f>
        <v>13</v>
      </c>
      <c r="B49" s="170">
        <f>IF(DAY($O$13)=1,"Усього",O15)</f>
        <v>44460</v>
      </c>
      <c r="C49" s="164">
        <f>IF(DAY($O$13)=1,"",B49-B48)</f>
        <v>27</v>
      </c>
      <c r="D49" s="159">
        <f>IF($S48=0,SUM(D$38:D48),SUM(E49:P49))</f>
        <v>4600.888153764913</v>
      </c>
      <c r="E49" s="159">
        <f>IF($S48=0,SUM($E$38:$E48),S48)</f>
        <v>4501.035456767426</v>
      </c>
      <c r="F49" s="159">
        <f>IF($S48=0,SUM(F$38:F48),S48*($F18)*(B49-B48)/(DATE(YEAR(B47)+1,1,1)-DATE(YEAR(B47),1,1)))</f>
        <v>99.85269699748733</v>
      </c>
      <c r="G49" s="159">
        <f>IF(OR($B48="Усього",$B48=""),"",IF($S48=0,SUM(G$37:G48),0))</f>
        <v>0</v>
      </c>
      <c r="H49" s="159">
        <f>IF(OR($B48="Усього",$B48=""),"",IF($S48=0,SUM(H$37:H48),0))</f>
        <v>0</v>
      </c>
      <c r="I49" s="159">
        <f>IF(OR($B48="Усього",$B48=""),"",IF($S48=0,SUM(I$37:I48),0))</f>
        <v>0</v>
      </c>
      <c r="J49" s="159">
        <f>IF(OR($B48="Усього",$B48=""),"",IF($S48=0,SUM(J$37:J48),0))</f>
        <v>0</v>
      </c>
      <c r="K49" s="159">
        <f>IF(OR($B48="Усього",$B48=""),"",IF($S48=0,SUM(K$37:K48),0))</f>
        <v>0</v>
      </c>
      <c r="L49" s="159">
        <f>IF(OR($B48="Усього",$B48=""),"",IF($S48=0,SUM(L$37:L48),0))</f>
        <v>0</v>
      </c>
      <c r="M49" s="159">
        <f>IF(OR($B48="Усього",$B48=""),"",IF($S48=0,SUM(M$37:M48),0))</f>
        <v>0</v>
      </c>
      <c r="N49" s="159">
        <f>IF(OR($B48="Усього",$B48=""),"",IF($S48=0,SUM(N$37:N48),0))</f>
        <v>0</v>
      </c>
      <c r="O49" s="159">
        <f>IF(OR($B48="Усього",$B48=""),"",IF($S48=0,SUM(O$37:O48),S48*O29))</f>
        <v>0</v>
      </c>
      <c r="P49" s="159">
        <f>IF(OR($B48="Усього",$B48=""),"",IF($S48=0,SUM(P$37:P48),0))</f>
        <v>0</v>
      </c>
      <c r="Q49" s="160" t="str">
        <f>IF(OR($B48="Усього",$B48=""),"",IF($S48=0,_XLL.ЧИСТВНДОХ(D$37:D48,B$37:B48,0.2),"Х"))</f>
        <v>Х</v>
      </c>
      <c r="R49" s="171" t="str">
        <f>IF(DAY($O$13)=1,SUM(E49:P49),"Х")</f>
        <v>Х</v>
      </c>
      <c r="S49" s="172">
        <f t="shared" si="3"/>
        <v>0</v>
      </c>
      <c r="T49" s="173"/>
    </row>
    <row r="50" spans="1:23" s="102" customFormat="1" ht="12" customHeight="1">
      <c r="A50" s="157"/>
      <c r="B50" s="170" t="str">
        <f>IF(DAY($O$13)=1,"","Усього")</f>
        <v>Усього</v>
      </c>
      <c r="C50" s="170"/>
      <c r="D50" s="159">
        <f>IF(DAY($O$13)=1,"",SUM(D38:D49))</f>
        <v>11833.132720946505</v>
      </c>
      <c r="E50" s="159">
        <f>IF(DAY($O$13)=1,"",SUM(E38:E49))</f>
        <v>10000</v>
      </c>
      <c r="F50" s="159">
        <f>IF(DAY($O$13)=1,"",SUM(F38:F49))</f>
        <v>1833.1327209465064</v>
      </c>
      <c r="G50" s="159">
        <f aca="true" t="shared" si="6" ref="G50:P50">IF(DAY($O$13)=1,"",SUM(G37:G49))</f>
        <v>0</v>
      </c>
      <c r="H50" s="159">
        <f t="shared" si="6"/>
        <v>0</v>
      </c>
      <c r="I50" s="159">
        <f t="shared" si="6"/>
        <v>0</v>
      </c>
      <c r="J50" s="159">
        <f t="shared" si="6"/>
        <v>400</v>
      </c>
      <c r="K50" s="159">
        <f t="shared" si="6"/>
        <v>0</v>
      </c>
      <c r="L50" s="159">
        <f t="shared" si="6"/>
        <v>0</v>
      </c>
      <c r="M50" s="159">
        <f t="shared" si="6"/>
        <v>0</v>
      </c>
      <c r="N50" s="159">
        <f t="shared" si="6"/>
        <v>0</v>
      </c>
      <c r="O50" s="159">
        <f t="shared" si="6"/>
        <v>0</v>
      </c>
      <c r="P50" s="159">
        <f t="shared" si="6"/>
        <v>0</v>
      </c>
      <c r="Q50" s="160">
        <f>IF(OR($B49="Усього",$B49=""),"",IF($S49=0,_XLL.ЧИСТВНДОХ(D$37:D49,B$37:B49,0.2),"Х"))</f>
        <v>0.37940363287925716</v>
      </c>
      <c r="R50" s="174">
        <f>IF(OR($B49="Усього",$B49=""),"",IF($S49=0,SUM(E50:P50),"Х"))</f>
        <v>12233.132720946507</v>
      </c>
      <c r="S50" s="172">
        <f>IF(OR(B50="Усього",B50=""),"",IF($S49=0,"",IF(DATE(YEAR(B49),MONTH(B49)+1,DAY($O$17))&gt;$O$15,0,S49-E50)))</f>
      </c>
      <c r="T50" s="173">
        <f>IF(AND(B50&lt;=O15,B50&lt;&gt;""),"Невідповідність дат","")</f>
      </c>
      <c r="V50" s="175" t="e">
        <f>IF(DAY(O13)=1,DATE(YEAR(#REF!),MONTH(#REF!),DAY($O$18)),DATE(YEAR(#REF!),MONTH(#REF!)+1,DAY($O$18)))</f>
        <v>#REF!</v>
      </c>
      <c r="W50" s="176">
        <f>DATE(YEAR($O$13)+2,MONTH($O$13),DAY($O$13)-1)</f>
        <v>44825</v>
      </c>
    </row>
    <row r="51" spans="2:21" ht="6.75" customHeight="1">
      <c r="B51" s="96"/>
      <c r="C51" s="96"/>
      <c r="D51" s="96"/>
      <c r="E51" s="96"/>
      <c r="F51" s="98"/>
      <c r="G51" s="98"/>
      <c r="H51" s="98"/>
      <c r="I51" s="98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6:9" s="96" customFormat="1" ht="0.75" customHeight="1" hidden="1">
      <c r="F52" s="177"/>
      <c r="G52" s="177"/>
      <c r="H52" s="177"/>
      <c r="I52" s="98"/>
    </row>
    <row r="53" ht="11.25">
      <c r="E53" s="169"/>
    </row>
    <row r="54" spans="6:9" s="96" customFormat="1" ht="18">
      <c r="F54" s="98"/>
      <c r="G54" s="98"/>
      <c r="H54" s="98"/>
      <c r="I54" s="98"/>
    </row>
    <row r="55" spans="6:9" s="96" customFormat="1" ht="5.25" customHeight="1">
      <c r="F55" s="98"/>
      <c r="G55" s="98"/>
      <c r="H55" s="98"/>
      <c r="I55" s="98"/>
    </row>
    <row r="56" spans="2:9" s="96" customFormat="1" ht="18">
      <c r="B56" s="178"/>
      <c r="F56" s="98"/>
      <c r="G56" s="98"/>
      <c r="H56" s="98"/>
      <c r="I56" s="98"/>
    </row>
    <row r="57" s="96" customFormat="1" ht="10.5" customHeight="1">
      <c r="B57" s="178"/>
    </row>
    <row r="58" spans="6:9" s="96" customFormat="1" ht="18">
      <c r="F58" s="98"/>
      <c r="G58" s="98"/>
      <c r="H58" s="98"/>
      <c r="I58" s="98"/>
    </row>
    <row r="59" spans="6:9" s="96" customFormat="1" ht="18">
      <c r="F59" s="98"/>
      <c r="G59" s="98"/>
      <c r="H59" s="98"/>
      <c r="I59" s="98"/>
    </row>
    <row r="60" spans="6:9" s="96" customFormat="1" ht="18">
      <c r="F60" s="98"/>
      <c r="G60" s="98"/>
      <c r="H60" s="98"/>
      <c r="I60" s="98"/>
    </row>
    <row r="61" spans="6:9" s="96" customFormat="1" ht="18">
      <c r="F61" s="98"/>
      <c r="G61" s="98"/>
      <c r="H61" s="98"/>
      <c r="I61" s="98"/>
    </row>
    <row r="62" spans="6:9" s="96" customFormat="1" ht="18">
      <c r="F62" s="98"/>
      <c r="G62" s="98"/>
      <c r="H62" s="98"/>
      <c r="I62" s="98"/>
    </row>
    <row r="63" spans="6:9" s="96" customFormat="1" ht="18">
      <c r="F63" s="98"/>
      <c r="G63" s="98"/>
      <c r="H63" s="98"/>
      <c r="I63" s="98"/>
    </row>
    <row r="64" spans="6:9" s="96" customFormat="1" ht="18">
      <c r="F64" s="98"/>
      <c r="G64" s="98"/>
      <c r="H64" s="98"/>
      <c r="I64" s="98"/>
    </row>
    <row r="65" spans="4:14" s="96" customFormat="1" ht="11.25" customHeight="1">
      <c r="D65" s="179"/>
      <c r="F65" s="180"/>
      <c r="G65" s="180"/>
      <c r="H65" s="180"/>
      <c r="I65" s="98"/>
      <c r="J65" s="92"/>
      <c r="K65" s="92"/>
      <c r="L65" s="92"/>
      <c r="M65" s="92"/>
      <c r="N65" s="92"/>
    </row>
    <row r="66" spans="6:9" s="96" customFormat="1" ht="5.25" customHeight="1">
      <c r="F66" s="98"/>
      <c r="G66" s="98"/>
      <c r="H66" s="98"/>
      <c r="I66" s="98"/>
    </row>
    <row r="67" spans="6:9" s="96" customFormat="1" ht="18" hidden="1">
      <c r="F67" s="98"/>
      <c r="G67" s="98"/>
      <c r="H67" s="98"/>
      <c r="I67" s="98"/>
    </row>
  </sheetData>
  <sheetProtection password="D54A" sheet="1" objects="1" scenarios="1"/>
  <protectedRanges>
    <protectedRange sqref="B9:H12 I9:N10 J11:J12" name="Диапазон12"/>
    <protectedRange sqref="B23:R24" name="Диапазон10"/>
    <protectedRange sqref="E9:H14 I9:N10 I14:N14" name="Диапазон8"/>
    <protectedRange sqref="E11:H11" name="Диапазон6"/>
    <protectedRange sqref="F18:H19" name="Диапазон4"/>
    <protectedRange sqref="O11:O12 O14:O15" name="Диапазон2"/>
    <protectedRange sqref="O6 P7:Q7 O2:Q3" name="Диапазон1"/>
    <protectedRange sqref="O8 O4:O6 B4:N8 P4:IV8 B2:IV3" name="Диапазон5"/>
    <protectedRange sqref="B23:R24" name="Диапазон7"/>
    <protectedRange sqref="F9:H22 I9:N10 I14:N14 I16:N16 I19:N22" name="Диапазон9"/>
    <protectedRange sqref="I2:N8" name="Диапазон11"/>
    <protectedRange sqref="B54:O66" name="Диапазон3_1"/>
    <protectedRange sqref="O13" name="Диапазон2_1_1_1"/>
  </protectedRanges>
  <mergeCells count="44">
    <mergeCell ref="B1:P1"/>
    <mergeCell ref="O4:R5"/>
    <mergeCell ref="O6:P8"/>
    <mergeCell ref="J11:L11"/>
    <mergeCell ref="J12:L12"/>
    <mergeCell ref="J13:L13"/>
    <mergeCell ref="J15:L15"/>
    <mergeCell ref="B17:E17"/>
    <mergeCell ref="J17:L17"/>
    <mergeCell ref="J18:L18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priority="1" dxfId="2" operator="equal" stopIfTrue="1">
      <formula>0</formula>
    </cfRule>
  </conditionalFormatting>
  <dataValidations count="8">
    <dataValidation type="list" allowBlank="1" showInputMessage="1" showErrorMessage="1" sqref="O18">
      <formula1>$Q$17</formula1>
    </dataValidation>
    <dataValidation type="list" allowBlank="1" showInputMessage="1" showErrorMessage="1" sqref="O17">
      <formula1>$P$17</formula1>
    </dataValidation>
    <dataValidation type="list" allowBlank="1" showInputMessage="1" showErrorMessage="1" sqref="F19">
      <formula1>$G$19</formula1>
    </dataValidation>
    <dataValidation type="list" allowBlank="1" showInputMessage="1" showErrorMessage="1" sqref="F18">
      <formula1>$G$18</formula1>
    </dataValidation>
    <dataValidation type="list" allowBlank="1" showInputMessage="1" showErrorMessage="1" sqref="F17">
      <formula1>$G$17</formula1>
    </dataValidation>
    <dataValidation type="list" allowBlank="1" showInputMessage="1" showErrorMessage="1" sqref="H18">
      <formula1>$U$11:$U$12</formula1>
    </dataValidation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showInputMessage="1" showErrorMessage="1" sqref="J2:N2"/>
  </dataValidations>
  <printOptions/>
  <pageMargins left="0" right="0" top="0" bottom="0" header="0" footer="0"/>
  <pageSetup fitToHeight="1" fitToWidth="1" horizontalDpi="600" verticalDpi="600" orientation="portrait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A67"/>
  <sheetViews>
    <sheetView showGridLines="0" zoomScale="115" zoomScaleNormal="115" zoomScaleSheetLayoutView="97" workbookViewId="0" topLeftCell="A1">
      <selection activeCell="H20" sqref="H20"/>
    </sheetView>
  </sheetViews>
  <sheetFormatPr defaultColWidth="9.00390625" defaultRowHeight="12.75"/>
  <cols>
    <col min="1" max="1" width="9.125" style="3" customWidth="1"/>
    <col min="2" max="3" width="12.25390625" style="3" customWidth="1"/>
    <col min="4" max="4" width="14.25390625" style="3" customWidth="1"/>
    <col min="5" max="5" width="12.125" style="3" customWidth="1"/>
    <col min="6" max="6" width="11.875" style="1" customWidth="1"/>
    <col min="7" max="7" width="15.875" style="1" customWidth="1"/>
    <col min="8" max="8" width="11.625" style="1" customWidth="1"/>
    <col min="9" max="9" width="15.00390625" style="1" customWidth="1"/>
    <col min="10" max="10" width="19.25390625" style="3" customWidth="1"/>
    <col min="11" max="11" width="12.75390625" style="3" customWidth="1"/>
    <col min="12" max="12" width="15.375" style="3" customWidth="1"/>
    <col min="13" max="13" width="10.875" style="3" customWidth="1"/>
    <col min="14" max="14" width="11.00390625" style="3" customWidth="1"/>
    <col min="15" max="15" width="12.00390625" style="3" customWidth="1"/>
    <col min="16" max="16" width="11.75390625" style="3" customWidth="1"/>
    <col min="17" max="17" width="28.00390625" style="3" customWidth="1"/>
    <col min="18" max="18" width="16.00390625" style="3" customWidth="1"/>
    <col min="19" max="19" width="11.875" style="3" customWidth="1"/>
    <col min="20" max="20" width="1.875" style="3" bestFit="1" customWidth="1"/>
    <col min="21" max="21" width="9.125" style="28" customWidth="1"/>
    <col min="22" max="23" width="9.125" style="3" hidden="1" customWidth="1"/>
    <col min="24" max="16384" width="9.125" style="3" customWidth="1"/>
  </cols>
  <sheetData>
    <row r="1" spans="2:17" ht="39" customHeigh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80" t="s">
        <v>54</v>
      </c>
    </row>
    <row r="2" spans="2:21" s="32" customFormat="1" ht="16.5" customHeight="1">
      <c r="B2" s="3">
        <v>1</v>
      </c>
      <c r="C2" s="3"/>
      <c r="D2" s="28">
        <v>1</v>
      </c>
      <c r="E2" s="28">
        <v>2</v>
      </c>
      <c r="F2" s="47">
        <v>1</v>
      </c>
      <c r="G2" s="47"/>
      <c r="H2" s="47"/>
      <c r="I2" s="47">
        <v>1</v>
      </c>
      <c r="J2" s="28">
        <v>1</v>
      </c>
      <c r="K2" s="28"/>
      <c r="L2" s="3"/>
      <c r="M2" s="3"/>
      <c r="N2" s="3"/>
      <c r="O2" s="13"/>
      <c r="P2" s="13"/>
      <c r="Q2" s="3"/>
      <c r="R2" s="33"/>
      <c r="U2" s="28"/>
    </row>
    <row r="3" spans="2:21" s="32" customFormat="1" ht="22.5" customHeight="1">
      <c r="B3" s="3" t="str">
        <f>"Домовичок"</f>
        <v>Домовичок</v>
      </c>
      <c r="C3" s="3"/>
      <c r="D3" s="28" t="str">
        <f>"гривня"</f>
        <v>гривня</v>
      </c>
      <c r="E3" s="28" t="str">
        <f>"Торговий POS-термінал"</f>
        <v>Торговий POS-термінал</v>
      </c>
      <c r="F3" s="47" t="s">
        <v>4</v>
      </c>
      <c r="G3" s="47"/>
      <c r="H3" s="47"/>
      <c r="I3" s="48" t="str">
        <f>"ДОМОВИЧОК"</f>
        <v>ДОМОВИЧОК</v>
      </c>
      <c r="J3" s="28" t="str">
        <f>"в кінці строку"</f>
        <v>в кінці строку</v>
      </c>
      <c r="K3" s="28"/>
      <c r="L3" s="3"/>
      <c r="M3" s="3"/>
      <c r="N3" s="3"/>
      <c r="O3" s="3"/>
      <c r="P3" s="3"/>
      <c r="Q3" s="3"/>
      <c r="R3" s="33"/>
      <c r="U3" s="28"/>
    </row>
    <row r="4" spans="2:21" s="32" customFormat="1" ht="10.5" customHeight="1">
      <c r="B4" s="3" t="s">
        <v>49</v>
      </c>
      <c r="C4" s="3"/>
      <c r="D4" s="28" t="str">
        <f>IF($B$2=3,"долар США","---")</f>
        <v>---</v>
      </c>
      <c r="E4" s="28" t="str">
        <f>"Банкомат АБ «Укргазбанк»"</f>
        <v>Банкомат АБ «Укргазбанк»</v>
      </c>
      <c r="F4" s="47" t="s">
        <v>11</v>
      </c>
      <c r="G4" s="47"/>
      <c r="H4" s="47"/>
      <c r="I4" s="42">
        <v>1</v>
      </c>
      <c r="J4" s="28" t="str">
        <f>"зменшення ліміту"</f>
        <v>зменшення ліміту</v>
      </c>
      <c r="K4" s="28"/>
      <c r="L4" s="3"/>
      <c r="M4" s="3"/>
      <c r="N4" s="3"/>
      <c r="O4" s="36"/>
      <c r="P4" s="13"/>
      <c r="Q4" s="3"/>
      <c r="U4" s="28"/>
    </row>
    <row r="5" spans="4:18" ht="6" customHeight="1">
      <c r="D5" s="28" t="str">
        <f>IF($B$2=3,"євро","---")</f>
        <v>---</v>
      </c>
      <c r="E5" s="28"/>
      <c r="F5" s="47"/>
      <c r="G5" s="47"/>
      <c r="H5" s="47"/>
      <c r="I5" s="48"/>
      <c r="J5" s="28" t="str">
        <f>"щомісячна очікувана сума"</f>
        <v>щомісячна очікувана сума</v>
      </c>
      <c r="K5" s="28"/>
      <c r="L5" s="28"/>
      <c r="M5" s="28"/>
      <c r="N5" s="28"/>
      <c r="O5" s="246"/>
      <c r="P5" s="246"/>
      <c r="Q5" s="246"/>
      <c r="R5" s="246"/>
    </row>
    <row r="6" spans="2:18" ht="6" customHeight="1">
      <c r="B6" s="28" t="str">
        <f>"Овердрафт «Кредитна картка»"</f>
        <v>Овердрафт «Кредитна картка»</v>
      </c>
      <c r="C6" s="28"/>
      <c r="D6" s="28"/>
      <c r="E6" s="28"/>
      <c r="F6" s="24"/>
      <c r="G6" s="24"/>
      <c r="H6" s="24"/>
      <c r="I6" s="47"/>
      <c r="J6" s="28"/>
      <c r="K6" s="28"/>
      <c r="L6" s="28"/>
      <c r="M6" s="28"/>
      <c r="N6" s="28"/>
      <c r="O6" s="246"/>
      <c r="P6" s="246"/>
      <c r="Q6" s="246"/>
      <c r="R6" s="246"/>
    </row>
    <row r="7" spans="2:17" ht="6" customHeight="1">
      <c r="B7" s="28" t="str">
        <f>"Програма новий клієнт"</f>
        <v>Програма новий клієнт</v>
      </c>
      <c r="C7" s="28"/>
      <c r="D7" s="28"/>
      <c r="E7" s="28"/>
      <c r="F7" s="24"/>
      <c r="G7" s="24"/>
      <c r="H7" s="24"/>
      <c r="I7" s="47"/>
      <c r="J7" s="23"/>
      <c r="K7" s="23"/>
      <c r="L7" s="23"/>
      <c r="M7" s="23"/>
      <c r="N7" s="23"/>
      <c r="O7" s="247"/>
      <c r="P7" s="247"/>
      <c r="Q7" s="14"/>
    </row>
    <row r="8" spans="2:17" ht="6" customHeight="1">
      <c r="B8" s="28" t="str">
        <f>"Овердрафт під депозит"</f>
        <v>Овердрафт під депозит</v>
      </c>
      <c r="C8" s="28"/>
      <c r="D8" s="28"/>
      <c r="E8" s="28"/>
      <c r="F8" s="24"/>
      <c r="G8" s="24"/>
      <c r="H8" s="24"/>
      <c r="I8" s="47"/>
      <c r="J8" s="23"/>
      <c r="K8" s="23"/>
      <c r="L8" s="23"/>
      <c r="M8" s="23"/>
      <c r="N8" s="23"/>
      <c r="O8" s="247"/>
      <c r="P8" s="247"/>
      <c r="Q8" s="14"/>
    </row>
    <row r="9" spans="2:17" ht="6" customHeight="1">
      <c r="B9" s="28" t="str">
        <f>"Овердрафт «Додаткова пенсія»"</f>
        <v>Овердрафт «Додаткова пенсія»</v>
      </c>
      <c r="C9" s="28"/>
      <c r="D9" s="28"/>
      <c r="E9" s="28"/>
      <c r="F9" s="24"/>
      <c r="G9" s="24"/>
      <c r="H9" s="24"/>
      <c r="I9" s="24"/>
      <c r="J9" s="23"/>
      <c r="K9" s="23"/>
      <c r="L9" s="23"/>
      <c r="M9" s="23"/>
      <c r="N9" s="23"/>
      <c r="O9" s="247"/>
      <c r="P9" s="247"/>
      <c r="Q9" s="14"/>
    </row>
    <row r="10" spans="2:18" ht="11.25">
      <c r="B10" s="25" t="str">
        <f>"Параметри кредитної програми"</f>
        <v>Параметри кредитної програми</v>
      </c>
      <c r="C10" s="25"/>
      <c r="D10" s="23"/>
      <c r="E10" s="23"/>
      <c r="F10" s="24"/>
      <c r="G10" s="24"/>
      <c r="H10" s="24"/>
      <c r="I10" s="24"/>
      <c r="J10" s="23"/>
      <c r="K10" s="66"/>
      <c r="L10" s="66"/>
      <c r="M10" s="66"/>
      <c r="N10" s="66"/>
      <c r="R10" s="16" t="str">
        <f ca="1">"Курс НБУ на "&amp;TEXT(NOW(),"ДД.ММ.ГГГГ")&amp;" р."</f>
        <v>Курс НБУ на ДД.ММ.ГГГГ р.</v>
      </c>
    </row>
    <row r="11" spans="11:18" ht="3.75" customHeight="1">
      <c r="K11" s="7"/>
      <c r="L11" s="7"/>
      <c r="M11" s="7"/>
      <c r="N11" s="7"/>
      <c r="R11" s="16"/>
    </row>
    <row r="12" spans="2:21" ht="12.75" customHeight="1">
      <c r="B12" s="3" t="str">
        <f>"Програма кредитування:"</f>
        <v>Програма кредитування:</v>
      </c>
      <c r="J12" s="248" t="str">
        <f>"Початкова сума ліміту овердрафту"</f>
        <v>Початкова сума ліміту овердрафту</v>
      </c>
      <c r="K12" s="248"/>
      <c r="L12" s="248"/>
      <c r="N12" s="67"/>
      <c r="O12" s="89">
        <v>10000</v>
      </c>
      <c r="P12" s="3" t="str">
        <f>IF($D$2=2,"доларів США",IF($D$2=3,"євро","грн"))</f>
        <v>грн</v>
      </c>
      <c r="Q12" s="3" t="s">
        <v>3</v>
      </c>
      <c r="R12" s="19"/>
      <c r="U12" s="52">
        <v>0.42</v>
      </c>
    </row>
    <row r="13" spans="10:21" ht="12.75" customHeight="1">
      <c r="J13" s="239" t="str">
        <f>"Максимальний за продуктом ліміт овердрафту"</f>
        <v>Максимальний за продуктом ліміт овердрафту</v>
      </c>
      <c r="K13" s="239"/>
      <c r="L13" s="239"/>
      <c r="N13" s="68"/>
      <c r="O13" s="56">
        <v>300000</v>
      </c>
      <c r="Q13" s="3" t="s">
        <v>5</v>
      </c>
      <c r="R13" s="20"/>
      <c r="U13" s="52">
        <v>0.36</v>
      </c>
    </row>
    <row r="14" spans="2:21" ht="12.75" customHeight="1">
      <c r="B14" s="3" t="str">
        <f>"Валюта овердрафту:"</f>
        <v>Валюта овердрафту:</v>
      </c>
      <c r="J14" s="239" t="str">
        <f>"Дата кредитного договору:"</f>
        <v>Дата кредитного договору:</v>
      </c>
      <c r="K14" s="239"/>
      <c r="L14" s="239"/>
      <c r="N14" s="68"/>
      <c r="O14" s="39">
        <f ca="1">TODAY()</f>
        <v>44096</v>
      </c>
      <c r="Q14" s="3" t="s">
        <v>6</v>
      </c>
      <c r="R14" s="19"/>
      <c r="U14" s="53">
        <v>10000</v>
      </c>
    </row>
    <row r="15" spans="10:21" ht="3.75" customHeight="1">
      <c r="J15" s="1"/>
      <c r="K15" s="68"/>
      <c r="L15" s="68"/>
      <c r="M15" s="68"/>
      <c r="N15" s="68"/>
      <c r="O15" s="70"/>
      <c r="R15" s="20"/>
      <c r="U15" s="53">
        <v>300000</v>
      </c>
    </row>
    <row r="16" spans="2:18" ht="12.75" customHeight="1">
      <c r="B16" s="30"/>
      <c r="C16" s="30"/>
      <c r="D16" s="30"/>
      <c r="E16" s="30"/>
      <c r="F16" s="31"/>
      <c r="G16" s="31"/>
      <c r="H16" s="31"/>
      <c r="J16" s="239" t="str">
        <f>"Дата завершення овердрафту:"</f>
        <v>Дата завершення овердрафту:</v>
      </c>
      <c r="K16" s="239"/>
      <c r="L16" s="239"/>
      <c r="N16" s="68"/>
      <c r="O16" s="38">
        <f>IF(DAY($O$14)&gt;25,DATE(YEAR($O$14)+1,MONTH($O$14),DAY(25)),IF(DAY($O$14)=1,DATE(YEAR($O$14)+1,MONTH($O$14-1),DAY(25)),DATE(YEAR($O$14)+1,MONTH($O$14),DAY($O$14)-1)))</f>
        <v>44460</v>
      </c>
      <c r="P16" s="6">
        <f>IF($O$16&lt;=$O$14,"Невідповідність дат","")</f>
      </c>
      <c r="Q16" s="3" t="s">
        <v>10</v>
      </c>
      <c r="R16" s="20" t="str">
        <f ca="1">"Комерційний курс на "&amp;TEXT(NOW(),"ДД.ММ.ГГГГ")&amp;" р."</f>
        <v>Комерційний курс на ДД.ММ.ГГГГ р.</v>
      </c>
    </row>
    <row r="17" spans="10:18" ht="3.75" customHeight="1">
      <c r="J17" s="1"/>
      <c r="K17" s="68"/>
      <c r="L17" s="68"/>
      <c r="M17" s="68"/>
      <c r="N17" s="68"/>
      <c r="O17" s="70"/>
      <c r="R17" s="20"/>
    </row>
    <row r="18" spans="2:18" ht="21.75" customHeight="1">
      <c r="B18" s="240" t="s">
        <v>8</v>
      </c>
      <c r="C18" s="240"/>
      <c r="D18" s="240"/>
      <c r="E18" s="241"/>
      <c r="F18" s="27">
        <v>0</v>
      </c>
      <c r="G18" s="61"/>
      <c r="H18" s="61"/>
      <c r="J18" s="242" t="s">
        <v>7</v>
      </c>
      <c r="K18" s="242"/>
      <c r="L18" s="242"/>
      <c r="N18" s="69"/>
      <c r="O18" s="57">
        <v>12</v>
      </c>
      <c r="P18" s="34">
        <f>IF(DAY($O$14)=1,23,24)</f>
        <v>24</v>
      </c>
      <c r="Q18" s="18"/>
      <c r="R18" s="20"/>
    </row>
    <row r="19" spans="2:18" ht="12.75" customHeight="1">
      <c r="B19" s="3" t="str">
        <f>"Процента ставка за кредитом"</f>
        <v>Процента ставка за кредитом</v>
      </c>
      <c r="F19" s="17">
        <v>0.36</v>
      </c>
      <c r="G19" s="62"/>
      <c r="H19" s="62"/>
      <c r="J19" s="239" t="str">
        <f>IF(OR($B$2=1,$B$2=2,$B$2=3,$B$2=4,$B$2=7),"Щомісячні платежі очікуються",IF(OR($B$2=5,$B$2=6),"Сплата процентів очікується"))</f>
        <v>Щомісячні платежі очікуються</v>
      </c>
      <c r="K19" s="239"/>
      <c r="L19" s="239"/>
      <c r="N19" s="68"/>
      <c r="O19" s="26">
        <v>25</v>
      </c>
      <c r="P19" s="3" t="str">
        <f>"числа кожного місяця"</f>
        <v>числа кожного місяця</v>
      </c>
      <c r="R19" s="19"/>
    </row>
    <row r="20" spans="2:18" ht="11.25" customHeight="1">
      <c r="B20" s="3" t="s">
        <v>13</v>
      </c>
      <c r="F20" s="35">
        <v>1E-06</v>
      </c>
      <c r="G20" s="63"/>
      <c r="H20" s="63"/>
      <c r="K20" s="7"/>
      <c r="L20" s="7"/>
      <c r="M20" s="7"/>
      <c r="N20" s="7"/>
      <c r="R20" s="20"/>
    </row>
    <row r="21" spans="2:18" ht="12" customHeight="1">
      <c r="B21" s="3" t="str">
        <f>"Метод розрахунку процентів"</f>
        <v>Метод розрахунку процентів</v>
      </c>
      <c r="F21" s="15" t="str">
        <f>"факт/факт"</f>
        <v>факт/факт</v>
      </c>
      <c r="G21" s="64"/>
      <c r="H21" s="64"/>
      <c r="K21" s="7"/>
      <c r="L21" s="7"/>
      <c r="M21" s="7"/>
      <c r="N21" s="7"/>
      <c r="O21" s="2"/>
      <c r="P21" s="3">
        <f>IF(OR($J$2=3),"гривень","")</f>
      </c>
      <c r="R21" s="19"/>
    </row>
    <row r="22" spans="2:14" ht="20.25" customHeight="1">
      <c r="B22" s="3" t="str">
        <f>"для розрахунку процентів береться фактична кількість днів у місяці та у році (365/366)"</f>
        <v>для розрахунку процентів береться фактична кількість днів у місяці та у році (365/366)</v>
      </c>
      <c r="K22" s="7"/>
      <c r="L22" s="7"/>
      <c r="M22" s="7"/>
      <c r="N22" s="7"/>
    </row>
    <row r="23" spans="2:27" ht="9" customHeight="1">
      <c r="B23" s="243" t="s">
        <v>58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V23" s="7"/>
      <c r="W23" s="7"/>
      <c r="X23" s="2"/>
      <c r="Y23" s="7"/>
      <c r="Z23" s="7"/>
      <c r="AA23" s="7"/>
    </row>
    <row r="24" spans="2:27" ht="18.75" customHeight="1"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V24" s="7"/>
      <c r="W24" s="7"/>
      <c r="X24" s="2"/>
      <c r="Y24" s="7"/>
      <c r="Z24" s="7"/>
      <c r="AA24" s="7"/>
    </row>
    <row r="25" spans="2:27" ht="9.75" customHeight="1">
      <c r="B25" s="3" t="s">
        <v>9</v>
      </c>
      <c r="F25" s="2"/>
      <c r="G25" s="2"/>
      <c r="H25" s="2"/>
      <c r="I25" s="2"/>
      <c r="R25" s="18"/>
      <c r="V25" s="7"/>
      <c r="W25" s="7"/>
      <c r="X25" s="7"/>
      <c r="Y25" s="7"/>
      <c r="Z25" s="7"/>
      <c r="AA25" s="7"/>
    </row>
    <row r="26" spans="2:9" ht="11.25">
      <c r="B26" s="3" t="s">
        <v>12</v>
      </c>
      <c r="F26" s="2"/>
      <c r="G26" s="2"/>
      <c r="H26" s="2"/>
      <c r="I26" s="2"/>
    </row>
    <row r="27" spans="2:18" ht="21.75" customHeight="1">
      <c r="B27" s="244" t="s">
        <v>14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2:17" ht="11.25" customHeight="1">
      <c r="B28" s="231" t="str">
        <f>IF(F19=25%,"","Комісія за видачу готівкових грошових коштів в установах та банкоматах  АБ  УКРГАЗБАНК від суми видачі готівки, якщо сума перевищує 1001 грн.")</f>
        <v>Комісія за видачу готівкових грошових коштів в установах та банкоматах  АБ  УКРГАЗБАНК від суми видачі готівки, якщо сума перевищує 1001 грн.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58">
        <v>0.04</v>
      </c>
      <c r="P28" s="59"/>
      <c r="Q28" s="58"/>
    </row>
    <row r="29" spans="2:17" ht="24" customHeight="1">
      <c r="B29" s="232" t="s">
        <v>15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60">
        <v>0.007</v>
      </c>
      <c r="P29" s="59"/>
      <c r="Q29" s="60"/>
    </row>
    <row r="30" spans="1:18" ht="17.25" customHeight="1">
      <c r="A30" s="233" t="s">
        <v>55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</row>
    <row r="31" spans="1:20" ht="13.5" customHeight="1">
      <c r="A31" s="221" t="s">
        <v>27</v>
      </c>
      <c r="B31" s="221" t="s">
        <v>33</v>
      </c>
      <c r="C31" s="221" t="s">
        <v>32</v>
      </c>
      <c r="D31" s="224" t="str">
        <f>"Чиста сума кредиту/cума платежу за розрахунковий період, "&amp;IF($D$2=3,"євро",IF($D$2=2,"доларів США","грн."))</f>
        <v>Чиста сума кредиту/cума платежу за розрахунковий період, грн.</v>
      </c>
      <c r="E31" s="234" t="s">
        <v>37</v>
      </c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 t="s">
        <v>52</v>
      </c>
      <c r="R31" s="224" t="s">
        <v>53</v>
      </c>
      <c r="S31" s="5" t="s">
        <v>2</v>
      </c>
      <c r="T31" s="5"/>
    </row>
    <row r="32" spans="1:19" ht="14.25" customHeight="1">
      <c r="A32" s="222"/>
      <c r="B32" s="222"/>
      <c r="C32" s="222"/>
      <c r="D32" s="225"/>
      <c r="E32" s="221" t="s">
        <v>34</v>
      </c>
      <c r="F32" s="224" t="s">
        <v>36</v>
      </c>
      <c r="G32" s="227" t="s">
        <v>56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37"/>
      <c r="R32" s="225"/>
      <c r="S32" s="7"/>
    </row>
    <row r="33" spans="1:19" ht="13.5" customHeight="1">
      <c r="A33" s="222"/>
      <c r="B33" s="222"/>
      <c r="C33" s="222"/>
      <c r="D33" s="225"/>
      <c r="E33" s="222"/>
      <c r="F33" s="225"/>
      <c r="G33" s="229" t="s">
        <v>17</v>
      </c>
      <c r="H33" s="230"/>
      <c r="I33" s="230"/>
      <c r="J33" s="230"/>
      <c r="K33" s="229" t="s">
        <v>19</v>
      </c>
      <c r="L33" s="230"/>
      <c r="M33" s="229" t="s">
        <v>22</v>
      </c>
      <c r="N33" s="230"/>
      <c r="O33" s="230"/>
      <c r="P33" s="230"/>
      <c r="Q33" s="237"/>
      <c r="R33" s="225"/>
      <c r="S33" s="7"/>
    </row>
    <row r="34" spans="1:19" ht="36.75" customHeight="1">
      <c r="A34" s="223"/>
      <c r="B34" s="223"/>
      <c r="C34" s="223"/>
      <c r="D34" s="226"/>
      <c r="E34" s="223"/>
      <c r="F34" s="226"/>
      <c r="G34" s="86" t="s">
        <v>18</v>
      </c>
      <c r="H34" s="10" t="s">
        <v>0</v>
      </c>
      <c r="I34" s="40" t="s">
        <v>57</v>
      </c>
      <c r="J34" s="71" t="s">
        <v>41</v>
      </c>
      <c r="K34" s="87" t="s">
        <v>20</v>
      </c>
      <c r="L34" s="87" t="s">
        <v>21</v>
      </c>
      <c r="M34" s="72" t="s">
        <v>23</v>
      </c>
      <c r="N34" s="72" t="s">
        <v>24</v>
      </c>
      <c r="O34" s="72" t="s">
        <v>25</v>
      </c>
      <c r="P34" s="65" t="s">
        <v>48</v>
      </c>
      <c r="Q34" s="238"/>
      <c r="R34" s="226"/>
      <c r="S34" s="7"/>
    </row>
    <row r="35" spans="1:18" ht="11.25" customHeight="1">
      <c r="A35" s="217">
        <v>1</v>
      </c>
      <c r="B35" s="217" t="s">
        <v>28</v>
      </c>
      <c r="C35" s="219" t="s">
        <v>29</v>
      </c>
      <c r="D35" s="217" t="s">
        <v>30</v>
      </c>
      <c r="E35" s="219" t="s">
        <v>31</v>
      </c>
      <c r="F35" s="217" t="s">
        <v>35</v>
      </c>
      <c r="G35" s="215" t="s">
        <v>26</v>
      </c>
      <c r="H35" s="215" t="s">
        <v>38</v>
      </c>
      <c r="I35" s="215" t="s">
        <v>39</v>
      </c>
      <c r="J35" s="215" t="s">
        <v>40</v>
      </c>
      <c r="K35" s="215" t="s">
        <v>42</v>
      </c>
      <c r="L35" s="215" t="s">
        <v>43</v>
      </c>
      <c r="M35" s="215" t="s">
        <v>44</v>
      </c>
      <c r="N35" s="215" t="s">
        <v>45</v>
      </c>
      <c r="O35" s="215" t="s">
        <v>46</v>
      </c>
      <c r="P35" s="215" t="s">
        <v>47</v>
      </c>
      <c r="Q35" s="11" t="s">
        <v>50</v>
      </c>
      <c r="R35" s="11" t="s">
        <v>51</v>
      </c>
    </row>
    <row r="36" spans="1:18" ht="11.25" customHeight="1">
      <c r="A36" s="218"/>
      <c r="B36" s="218"/>
      <c r="C36" s="220"/>
      <c r="D36" s="218"/>
      <c r="E36" s="220"/>
      <c r="F36" s="218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12"/>
      <c r="R36" s="12"/>
    </row>
    <row r="37" spans="1:21" s="51" customFormat="1" ht="13.5" customHeight="1">
      <c r="A37" s="44">
        <v>1</v>
      </c>
      <c r="B37" s="46">
        <f>DATE(YEAR($O$14),MONTH($O$14),DAY($O$14))</f>
        <v>44096</v>
      </c>
      <c r="C37" s="81" t="s">
        <v>1</v>
      </c>
      <c r="D37" s="43">
        <f>E37+SUM(G37:P37)</f>
        <v>-9600</v>
      </c>
      <c r="E37" s="45">
        <f>-O12</f>
        <v>-10000</v>
      </c>
      <c r="F37" s="44" t="s">
        <v>1</v>
      </c>
      <c r="G37" s="43">
        <v>0</v>
      </c>
      <c r="H37" s="43">
        <v>0</v>
      </c>
      <c r="I37" s="43">
        <v>0</v>
      </c>
      <c r="J37" s="45">
        <f>IF($B$2=1,$O$12*$O$28,0)</f>
        <v>400</v>
      </c>
      <c r="K37" s="43">
        <v>0</v>
      </c>
      <c r="L37" s="45">
        <v>0</v>
      </c>
      <c r="M37" s="45">
        <v>0</v>
      </c>
      <c r="N37" s="45">
        <v>0</v>
      </c>
      <c r="O37" s="43" t="s">
        <v>16</v>
      </c>
      <c r="P37" s="45">
        <v>0</v>
      </c>
      <c r="Q37" s="74" t="str">
        <f>IF(OR($B48="Усього",$B48=""),"",IF($S37=0,_XLL.ЧИСТВНДОХ(D36:D$37,B36:B$37,0.2),"Х"))</f>
        <v>Х</v>
      </c>
      <c r="R37" s="44" t="s">
        <v>1</v>
      </c>
      <c r="S37" s="49">
        <f>-E37</f>
        <v>10000</v>
      </c>
      <c r="T37" s="50"/>
      <c r="U37" s="54"/>
    </row>
    <row r="38" spans="1:20" ht="11.25">
      <c r="A38" s="44">
        <v>2</v>
      </c>
      <c r="B38" s="41">
        <f aca="true" t="shared" si="0" ref="B38:B48">DATE(YEAR(B37),MONTH(B37)+1,DAY($O$19))</f>
        <v>44129</v>
      </c>
      <c r="C38" s="88">
        <f aca="true" t="shared" si="1" ref="C38:C48">B38-B37</f>
        <v>33</v>
      </c>
      <c r="D38" s="43">
        <f>IF($S37=0,SUM(D37:D$38),SUM(E38:P38))</f>
        <v>799.5081967213116</v>
      </c>
      <c r="E38" s="45">
        <f>-E37*7%</f>
        <v>700.0000000000001</v>
      </c>
      <c r="F38" s="43">
        <f>IF(B38-B37&lt;30,0,(S37*($F$19))*((B38-B37)-30)/(DATE(YEAR(B38)+1,1,1)-DATE(YEAR(B38),1,1)))</f>
        <v>29.508196721311474</v>
      </c>
      <c r="G38" s="43">
        <v>0</v>
      </c>
      <c r="H38" s="43">
        <v>0</v>
      </c>
      <c r="I38" s="43">
        <v>0</v>
      </c>
      <c r="J38" s="43">
        <f>IF(OR($B37="Усього",$B37=""),"",IF($S37=0,SUM(J$37:J37),0))</f>
        <v>0</v>
      </c>
      <c r="K38" s="43">
        <v>0</v>
      </c>
      <c r="L38" s="45">
        <v>0</v>
      </c>
      <c r="M38" s="45">
        <v>0</v>
      </c>
      <c r="N38" s="45">
        <v>0</v>
      </c>
      <c r="O38" s="43">
        <f>S37*O29</f>
        <v>70</v>
      </c>
      <c r="P38" s="45">
        <v>0</v>
      </c>
      <c r="Q38" s="8" t="str">
        <f>IF($O$12&lt;=0,0,IF($S37=0,0,"Х"))</f>
        <v>Х</v>
      </c>
      <c r="R38" s="9" t="str">
        <f aca="true" t="shared" si="2" ref="R38:R48">IF(OR($B37="Усього",$B37=""),"",IF($S37=0,SUM(F38:P38),"Х"))</f>
        <v>Х</v>
      </c>
      <c r="S38" s="4">
        <f aca="true" t="shared" si="3" ref="S38:S49">IF($S37=0,"",IF(DATE(YEAR(B37),MONTH(B37)+1,DAY($O$18))&gt;$O$16,0,S37-E38))</f>
        <v>9300</v>
      </c>
      <c r="T38" s="29">
        <f aca="true" t="shared" si="4" ref="T38:T48">IF(AND(B38&lt;=B37,B38&lt;&gt;""),"Невідповідність дат","")</f>
      </c>
    </row>
    <row r="39" spans="1:20" ht="11.25">
      <c r="A39" s="44">
        <v>3</v>
      </c>
      <c r="B39" s="41">
        <f t="shared" si="0"/>
        <v>44160</v>
      </c>
      <c r="C39" s="88">
        <f t="shared" si="1"/>
        <v>31</v>
      </c>
      <c r="D39" s="43">
        <f>IF($S38=0,SUM(D38:D$38),SUM(E39:P39))</f>
        <v>997.6081967213116</v>
      </c>
      <c r="E39" s="45">
        <f>S38*7%</f>
        <v>651.0000000000001</v>
      </c>
      <c r="F39" s="45">
        <f>IF(B39-B37&lt;30,0,(S38*($F$19))*((B39-B37)-30)/(DATE(YEAR(B38)+1,1,1)-DATE(YEAR(B38),1,1))-F38)</f>
        <v>281.50819672131144</v>
      </c>
      <c r="G39" s="43">
        <v>0</v>
      </c>
      <c r="H39" s="43">
        <v>0</v>
      </c>
      <c r="I39" s="43">
        <v>0</v>
      </c>
      <c r="J39" s="43">
        <f>IF(OR($B38="Усього",$B38=""),"",IF($S38=0,SUM(J$37:J38),0))</f>
        <v>0</v>
      </c>
      <c r="K39" s="43">
        <v>0</v>
      </c>
      <c r="L39" s="45">
        <v>0</v>
      </c>
      <c r="M39" s="45">
        <v>0</v>
      </c>
      <c r="N39" s="45">
        <v>0</v>
      </c>
      <c r="O39" s="43">
        <f>S38*O29</f>
        <v>65.1</v>
      </c>
      <c r="P39" s="45">
        <v>0</v>
      </c>
      <c r="Q39" s="8" t="str">
        <f>IF(OR($B38="Усього",$B38=""),"",IF($S38=0,_XLL.ЧИСТВНДОХ(D$37:D38,B$37:B38,0.2),"Х"))</f>
        <v>Х</v>
      </c>
      <c r="R39" s="9" t="str">
        <f t="shared" si="2"/>
        <v>Х</v>
      </c>
      <c r="S39" s="4">
        <f t="shared" si="3"/>
        <v>8649</v>
      </c>
      <c r="T39" s="29">
        <f t="shared" si="4"/>
      </c>
    </row>
    <row r="40" spans="1:20" ht="14.25" customHeight="1">
      <c r="A40" s="44">
        <v>4</v>
      </c>
      <c r="B40" s="41">
        <f t="shared" si="0"/>
        <v>44190</v>
      </c>
      <c r="C40" s="88">
        <f t="shared" si="1"/>
        <v>30</v>
      </c>
      <c r="D40" s="43">
        <f>IF($S39=0,SUM(D$38:D39),SUM(E40:P40))</f>
        <v>921.189393442623</v>
      </c>
      <c r="E40" s="45">
        <f aca="true" t="shared" si="5" ref="E40:E47">S39*7%</f>
        <v>605.4300000000001</v>
      </c>
      <c r="F40" s="43">
        <f>IF(OR($B39="Усього",$B39=""),"",IF($S39=0,SUM(F$38:F40),S39*($F$19)*(B40-B39)/(DATE(YEAR(B38)+1,1,1)-DATE(YEAR(B38),1,1))))</f>
        <v>255.21639344262294</v>
      </c>
      <c r="G40" s="43">
        <v>0</v>
      </c>
      <c r="H40" s="43">
        <v>0</v>
      </c>
      <c r="I40" s="43">
        <v>0</v>
      </c>
      <c r="J40" s="43">
        <f>IF(OR($B39="Усього",$B39=""),"",IF($S39=0,SUM(J$37:J39),0))</f>
        <v>0</v>
      </c>
      <c r="K40" s="43">
        <v>0</v>
      </c>
      <c r="L40" s="45">
        <v>0</v>
      </c>
      <c r="M40" s="45">
        <v>0</v>
      </c>
      <c r="N40" s="45">
        <v>0</v>
      </c>
      <c r="O40" s="43">
        <f>S39*O29</f>
        <v>60.543</v>
      </c>
      <c r="P40" s="45">
        <v>0</v>
      </c>
      <c r="Q40" s="8" t="str">
        <f>IF(OR($B39="Усього",$B39=""),"",IF($S39=0,_XLL.ЧИСТВНДОХ(D$37:D39,B$37:B39,0.2),"Х"))</f>
        <v>Х</v>
      </c>
      <c r="R40" s="9" t="str">
        <f t="shared" si="2"/>
        <v>Х</v>
      </c>
      <c r="S40" s="4">
        <f t="shared" si="3"/>
        <v>8043.57</v>
      </c>
      <c r="T40" s="29">
        <f t="shared" si="4"/>
      </c>
    </row>
    <row r="41" spans="1:20" ht="11.25">
      <c r="A41" s="44">
        <v>5</v>
      </c>
      <c r="B41" s="41">
        <f t="shared" si="0"/>
        <v>44221</v>
      </c>
      <c r="C41" s="88">
        <f t="shared" si="1"/>
        <v>31</v>
      </c>
      <c r="D41" s="43">
        <f>IF($S40=0,SUM(D$38:D40),SUM(E41:P41))</f>
        <v>864.6178440983606</v>
      </c>
      <c r="E41" s="45">
        <f t="shared" si="5"/>
        <v>563.0499</v>
      </c>
      <c r="F41" s="43">
        <f>IF(OR($B40="Усього",$B40=""),"",IF($S40=0,SUM(F$38:F41),S40*($F$19)*(B41-B40)/(DATE(YEAR(B39)+1,1,1)-DATE(YEAR(B39),1,1))))</f>
        <v>245.26295409836064</v>
      </c>
      <c r="G41" s="43">
        <v>0</v>
      </c>
      <c r="H41" s="43">
        <v>0</v>
      </c>
      <c r="I41" s="43">
        <v>0</v>
      </c>
      <c r="J41" s="43">
        <f>IF(OR($B40="Усього",$B40=""),"",IF($S40=0,SUM(J$37:J40),0))</f>
        <v>0</v>
      </c>
      <c r="K41" s="43">
        <v>0</v>
      </c>
      <c r="L41" s="45">
        <v>0</v>
      </c>
      <c r="M41" s="45">
        <v>0</v>
      </c>
      <c r="N41" s="45">
        <v>0</v>
      </c>
      <c r="O41" s="43">
        <f>S40*O29</f>
        <v>56.30499</v>
      </c>
      <c r="P41" s="45">
        <v>0</v>
      </c>
      <c r="Q41" s="8" t="str">
        <f>IF(OR($B40="Усього",$B40=""),"",IF($S40=0,_XLL.ЧИСТВНДОХ(D$37:D40,B$37:B40,0.2),"Х"))</f>
        <v>Х</v>
      </c>
      <c r="R41" s="9" t="str">
        <f t="shared" si="2"/>
        <v>Х</v>
      </c>
      <c r="S41" s="4">
        <f t="shared" si="3"/>
        <v>7480.5201</v>
      </c>
      <c r="T41" s="29">
        <f t="shared" si="4"/>
      </c>
    </row>
    <row r="42" spans="1:20" ht="11.25">
      <c r="A42" s="44">
        <v>6</v>
      </c>
      <c r="B42" s="41">
        <f t="shared" si="0"/>
        <v>44252</v>
      </c>
      <c r="C42" s="88">
        <f t="shared" si="1"/>
        <v>31</v>
      </c>
      <c r="D42" s="43">
        <f>IF($S41=0,SUM(D$38:D41),SUM(E42:P42))</f>
        <v>804.0945950114755</v>
      </c>
      <c r="E42" s="45">
        <f t="shared" si="5"/>
        <v>523.6364070000001</v>
      </c>
      <c r="F42" s="43">
        <f>IF(OR($B41="Усього",$B41=""),"",IF($S41=0,SUM(F$38:F42),S41*($F$19)*(B42-B41)/(DATE(YEAR(B40)+1,1,1)-DATE(YEAR(B40),1,1))))</f>
        <v>228.0945473114754</v>
      </c>
      <c r="G42" s="43">
        <v>0</v>
      </c>
      <c r="H42" s="43">
        <v>0</v>
      </c>
      <c r="I42" s="43">
        <v>0</v>
      </c>
      <c r="J42" s="43">
        <f>IF(OR($B41="Усього",$B41=""),"",IF($S41=0,SUM(J$37:J41),0))</f>
        <v>0</v>
      </c>
      <c r="K42" s="43">
        <v>0</v>
      </c>
      <c r="L42" s="45">
        <v>0</v>
      </c>
      <c r="M42" s="45">
        <v>0</v>
      </c>
      <c r="N42" s="45">
        <v>0</v>
      </c>
      <c r="O42" s="43">
        <f>S41*O29</f>
        <v>52.3636407</v>
      </c>
      <c r="P42" s="45">
        <v>0</v>
      </c>
      <c r="Q42" s="8" t="str">
        <f>IF(OR($B41="Усього",$B41=""),"",IF($S41=0,_XLL.ЧИСТВНДОХ(D$37:D41,B$37:B41,0.2),"Х"))</f>
        <v>Х</v>
      </c>
      <c r="R42" s="9" t="str">
        <f t="shared" si="2"/>
        <v>Х</v>
      </c>
      <c r="S42" s="4">
        <f t="shared" si="3"/>
        <v>6956.883693</v>
      </c>
      <c r="T42" s="29">
        <f t="shared" si="4"/>
      </c>
    </row>
    <row r="43" spans="1:21" ht="11.25">
      <c r="A43" s="44">
        <v>7</v>
      </c>
      <c r="B43" s="41">
        <f t="shared" si="0"/>
        <v>44280</v>
      </c>
      <c r="C43" s="88">
        <f t="shared" si="1"/>
        <v>28</v>
      </c>
      <c r="D43" s="43">
        <f>IF($S42=0,SUM(D$38:D42),SUM(E43:P43))</f>
        <v>727.8043940197397</v>
      </c>
      <c r="E43" s="45">
        <f>S42*7%</f>
        <v>486.98185851000005</v>
      </c>
      <c r="F43" s="43">
        <f>IF(OR($B42="Усього",$B42=""),"",IF($S42=0,SUM(F$38:F43),S42*($F$19)*(B43-B42)/(DATE(YEAR(B41)+1,1,1)-DATE(YEAR(B41),1,1))))</f>
        <v>192.1243496587397</v>
      </c>
      <c r="G43" s="43">
        <v>0</v>
      </c>
      <c r="H43" s="43">
        <v>0</v>
      </c>
      <c r="I43" s="43">
        <v>0</v>
      </c>
      <c r="J43" s="43">
        <f>IF(OR($B42="Усього",$B42=""),"",IF($S42=0,SUM(J$37:J42),0))</f>
        <v>0</v>
      </c>
      <c r="K43" s="43">
        <v>0</v>
      </c>
      <c r="L43" s="45">
        <v>0</v>
      </c>
      <c r="M43" s="45">
        <v>0</v>
      </c>
      <c r="N43" s="45">
        <v>0</v>
      </c>
      <c r="O43" s="43">
        <f>S42*O29</f>
        <v>48.698185851</v>
      </c>
      <c r="P43" s="45">
        <v>0</v>
      </c>
      <c r="Q43" s="8" t="str">
        <f>IF(OR($B42="Усього",$B42=""),"",IF($S42=0,_XLL.ЧИСТВНДОХ(D$37:D42,B$37:B42,0.2),"Х"))</f>
        <v>Х</v>
      </c>
      <c r="R43" s="9" t="str">
        <f t="shared" si="2"/>
        <v>Х</v>
      </c>
      <c r="S43" s="4">
        <f t="shared" si="3"/>
        <v>6469.90183449</v>
      </c>
      <c r="T43" s="29">
        <f t="shared" si="4"/>
      </c>
      <c r="U43" s="53"/>
    </row>
    <row r="44" spans="1:20" ht="11.25">
      <c r="A44" s="44">
        <v>8</v>
      </c>
      <c r="B44" s="41">
        <f t="shared" si="0"/>
        <v>44311</v>
      </c>
      <c r="C44" s="88">
        <f t="shared" si="1"/>
        <v>31</v>
      </c>
      <c r="D44" s="43">
        <f>IF($S43=0,SUM(D$38:D43),SUM(E44:P44))</f>
        <v>696.0019055650681</v>
      </c>
      <c r="E44" s="45">
        <f t="shared" si="5"/>
        <v>452.8931284143</v>
      </c>
      <c r="F44" s="43">
        <f>IF(OR($B43="Усього",$B43=""),"",IF($S43=0,SUM(F$38:F44),S43*($F$19)*(B44-B43)/(DATE(YEAR(B42)+1,1,1)-DATE(YEAR(B42),1,1))))</f>
        <v>197.81946430933806</v>
      </c>
      <c r="G44" s="43">
        <v>0</v>
      </c>
      <c r="H44" s="43">
        <v>0</v>
      </c>
      <c r="I44" s="43">
        <v>0</v>
      </c>
      <c r="J44" s="43">
        <f>IF(OR($B43="Усього",$B43=""),"",IF($S43=0,SUM(J$37:J43),0))</f>
        <v>0</v>
      </c>
      <c r="K44" s="43">
        <v>0</v>
      </c>
      <c r="L44" s="45">
        <v>0</v>
      </c>
      <c r="M44" s="45">
        <v>0</v>
      </c>
      <c r="N44" s="45">
        <v>0</v>
      </c>
      <c r="O44" s="43">
        <f>S43*O29</f>
        <v>45.28931284143</v>
      </c>
      <c r="P44" s="45">
        <v>0</v>
      </c>
      <c r="Q44" s="8" t="str">
        <f>IF(OR($B43="Усього",$B43=""),"",IF($S43=0,_XLL.ЧИСТВНДОХ(D$37:D43,B$37:B43,0.2),"Х"))</f>
        <v>Х</v>
      </c>
      <c r="R44" s="9" t="str">
        <f t="shared" si="2"/>
        <v>Х</v>
      </c>
      <c r="S44" s="4">
        <f t="shared" si="3"/>
        <v>6017.0087060757</v>
      </c>
      <c r="T44" s="29">
        <f t="shared" si="4"/>
      </c>
    </row>
    <row r="45" spans="1:20" ht="11.25">
      <c r="A45" s="44">
        <v>9</v>
      </c>
      <c r="B45" s="41">
        <f t="shared" si="0"/>
        <v>44341</v>
      </c>
      <c r="C45" s="88">
        <f t="shared" si="1"/>
        <v>30</v>
      </c>
      <c r="D45" s="43">
        <f>IF($S44=0,SUM(D$38:D44),SUM(E45:P45))</f>
        <v>641.3471882462331</v>
      </c>
      <c r="E45" s="45">
        <f t="shared" si="5"/>
        <v>421.190609425299</v>
      </c>
      <c r="F45" s="43">
        <f>IF(OR($B44="Усього",$B44=""),"",IF($S44=0,SUM(F$38:F45),S44*($F$19)*(B45-B44)/(DATE(YEAR(B43)+1,1,1)-DATE(YEAR(B43),1,1))))</f>
        <v>178.03751787840426</v>
      </c>
      <c r="G45" s="43">
        <v>0</v>
      </c>
      <c r="H45" s="43">
        <v>0</v>
      </c>
      <c r="I45" s="43">
        <v>0</v>
      </c>
      <c r="J45" s="43">
        <f>IF(OR($B44="Усього",$B44=""),"",IF($S44=0,SUM(J$37:J44),0))</f>
        <v>0</v>
      </c>
      <c r="K45" s="43">
        <v>0</v>
      </c>
      <c r="L45" s="45">
        <v>0</v>
      </c>
      <c r="M45" s="45">
        <v>0</v>
      </c>
      <c r="N45" s="45">
        <v>0</v>
      </c>
      <c r="O45" s="43">
        <f>S44*O29</f>
        <v>42.1190609425299</v>
      </c>
      <c r="P45" s="45">
        <v>0</v>
      </c>
      <c r="Q45" s="8" t="str">
        <f>IF(OR($B44="Усього",$B44=""),"",IF($S44=0,_XLL.ЧИСТВНДОХ(D$37:D44,B$37:B44,0.2),"Х"))</f>
        <v>Х</v>
      </c>
      <c r="R45" s="9" t="str">
        <f t="shared" si="2"/>
        <v>Х</v>
      </c>
      <c r="S45" s="4">
        <f t="shared" si="3"/>
        <v>5595.818096650401</v>
      </c>
      <c r="T45" s="29">
        <f t="shared" si="4"/>
      </c>
    </row>
    <row r="46" spans="1:20" ht="11.25">
      <c r="A46" s="44">
        <v>10</v>
      </c>
      <c r="B46" s="41">
        <f t="shared" si="0"/>
        <v>44372</v>
      </c>
      <c r="C46" s="88">
        <f t="shared" si="1"/>
        <v>31</v>
      </c>
      <c r="D46" s="43">
        <f>IF($S45=0,SUM(D$38:D45),SUM(E46:P46))</f>
        <v>601.9720481232274</v>
      </c>
      <c r="E46" s="45">
        <f t="shared" si="5"/>
        <v>391.70726676552806</v>
      </c>
      <c r="F46" s="43">
        <f>IF(OR($B45="Усього",$B45=""),"",IF($S45=0,SUM(F$38:F46),S45*($F$19)*(B46-B45)/(DATE(YEAR(B44)+1,1,1)-DATE(YEAR(B44),1,1))))</f>
        <v>171.09405468114647</v>
      </c>
      <c r="G46" s="43">
        <v>0</v>
      </c>
      <c r="H46" s="43">
        <v>0</v>
      </c>
      <c r="I46" s="43">
        <v>0</v>
      </c>
      <c r="J46" s="43">
        <f>IF(OR($B45="Усього",$B45=""),"",IF($S45=0,SUM(J$37:J45),0))</f>
        <v>0</v>
      </c>
      <c r="K46" s="43">
        <v>0</v>
      </c>
      <c r="L46" s="45">
        <v>0</v>
      </c>
      <c r="M46" s="45">
        <v>0</v>
      </c>
      <c r="N46" s="45">
        <v>0</v>
      </c>
      <c r="O46" s="43">
        <f>S45*O29</f>
        <v>39.1707266765528</v>
      </c>
      <c r="P46" s="45">
        <v>0</v>
      </c>
      <c r="Q46" s="8" t="str">
        <f>IF(OR($B45="Усього",$B45=""),"",IF($S45=0,_XLL.ЧИСТВНДОХ(D$37:D45,B$37:B45,0.2),"Х"))</f>
        <v>Х</v>
      </c>
      <c r="R46" s="9" t="str">
        <f t="shared" si="2"/>
        <v>Х</v>
      </c>
      <c r="S46" s="4">
        <f t="shared" si="3"/>
        <v>5204.110829884872</v>
      </c>
      <c r="T46" s="29">
        <f t="shared" si="4"/>
      </c>
    </row>
    <row r="47" spans="1:20" ht="11.25">
      <c r="A47" s="44">
        <v>11</v>
      </c>
      <c r="B47" s="41">
        <f t="shared" si="0"/>
        <v>44402</v>
      </c>
      <c r="C47" s="88">
        <f t="shared" si="1"/>
        <v>30</v>
      </c>
      <c r="D47" s="43">
        <f>IF($S46=0,SUM(D$38:D46),SUM(E47:P47))</f>
        <v>554.7011831141671</v>
      </c>
      <c r="E47" s="45">
        <f t="shared" si="5"/>
        <v>364.2877580919411</v>
      </c>
      <c r="F47" s="43">
        <f>IF(OR($B46="Усього",$B46=""),"",IF($S46=0,SUM(F$38:F47),S46*($F$19)*(B47-B46)/(DATE(YEAR(B45)+1,1,1)-DATE(YEAR(B45),1,1))))</f>
        <v>153.98464921303184</v>
      </c>
      <c r="G47" s="43">
        <v>0</v>
      </c>
      <c r="H47" s="43">
        <v>0</v>
      </c>
      <c r="I47" s="43">
        <v>0</v>
      </c>
      <c r="J47" s="43">
        <f>IF(OR($B46="Усього",$B46=""),"",IF($S46=0,SUM(J$37:J46),0))</f>
        <v>0</v>
      </c>
      <c r="K47" s="43">
        <v>0</v>
      </c>
      <c r="L47" s="45">
        <v>0</v>
      </c>
      <c r="M47" s="45">
        <v>0</v>
      </c>
      <c r="N47" s="45">
        <v>0</v>
      </c>
      <c r="O47" s="43">
        <f>S46*O29</f>
        <v>36.42877580919411</v>
      </c>
      <c r="P47" s="45">
        <v>0</v>
      </c>
      <c r="Q47" s="8" t="str">
        <f>IF(OR($B46="Усього",$B46=""),"",IF($S46=0,_XLL.ЧИСТВНДОХ(D$37:D46,B$37:B46,0.2),"Х"))</f>
        <v>Х</v>
      </c>
      <c r="R47" s="9" t="str">
        <f t="shared" si="2"/>
        <v>Х</v>
      </c>
      <c r="S47" s="4">
        <f t="shared" si="3"/>
        <v>4839.823071792931</v>
      </c>
      <c r="T47" s="29">
        <f t="shared" si="4"/>
      </c>
    </row>
    <row r="48" spans="1:20" ht="11.25">
      <c r="A48" s="44">
        <v>12</v>
      </c>
      <c r="B48" s="41">
        <f t="shared" si="0"/>
        <v>44433</v>
      </c>
      <c r="C48" s="88">
        <f t="shared" si="1"/>
        <v>31</v>
      </c>
      <c r="D48" s="43">
        <f>IF($S47=0,SUM(D$38:D47),SUM(E48:P48))</f>
        <v>520.6456244217793</v>
      </c>
      <c r="E48" s="43">
        <f>IF(B48=$O$16,S47,S47*7%)</f>
        <v>338.7876150255052</v>
      </c>
      <c r="F48" s="43">
        <f>IF(OR($B47="Усього",$B47=""),"",IF($S47=0,SUM(F$38:F48),S47*($F$19)*(B48-B47)/(DATE(YEAR(B46)+1,1,1)-DATE(YEAR(B46),1,1))))</f>
        <v>147.9792478937236</v>
      </c>
      <c r="G48" s="43">
        <v>0</v>
      </c>
      <c r="H48" s="43">
        <v>0</v>
      </c>
      <c r="I48" s="43">
        <v>0</v>
      </c>
      <c r="J48" s="43">
        <f>IF(OR($B47="Усього",$B47=""),"",IF($S47=0,SUM(J$37:J47),0))</f>
        <v>0</v>
      </c>
      <c r="K48" s="43">
        <v>0</v>
      </c>
      <c r="L48" s="45">
        <v>0</v>
      </c>
      <c r="M48" s="45">
        <v>0</v>
      </c>
      <c r="N48" s="45">
        <v>0</v>
      </c>
      <c r="O48" s="43">
        <f>S47*O29</f>
        <v>33.87876150255052</v>
      </c>
      <c r="P48" s="45">
        <v>0</v>
      </c>
      <c r="Q48" s="8" t="str">
        <f>IF(OR($B47="Усього",$B47=""),"",IF($S47=0,_XLL.ЧИСТВНДОХ(D$37:D47,B$37:B47,0.2),"Х"))</f>
        <v>Х</v>
      </c>
      <c r="R48" s="9" t="str">
        <f t="shared" si="2"/>
        <v>Х</v>
      </c>
      <c r="S48" s="4">
        <f t="shared" si="3"/>
        <v>4501.035456767426</v>
      </c>
      <c r="T48" s="29">
        <f t="shared" si="4"/>
      </c>
    </row>
    <row r="49" spans="1:21" s="79" customFormat="1" ht="11.25">
      <c r="A49" s="73" t="str">
        <f>IF(DAY($O$14)=1,"","13")</f>
        <v>13</v>
      </c>
      <c r="B49" s="73">
        <f>IF(DAY($O$14)=1,"Усього",O16)</f>
        <v>44460</v>
      </c>
      <c r="C49" s="88">
        <f>IF(DAY($O$14)=1,"",B49-B48)</f>
        <v>27</v>
      </c>
      <c r="D49" s="45">
        <f>IF($S48=0,SUM(D$38:D48),SUM(E49:P49))</f>
        <v>4652.405895758714</v>
      </c>
      <c r="E49" s="45">
        <f>IF($S48=0,SUM($E$38:$E48),S48)</f>
        <v>4501.035456767426</v>
      </c>
      <c r="F49" s="45">
        <f>IF($S48=0,SUM(F$38:F48),S48*($F19)*(B49-B48)/(DATE(YEAR(B47)+1,1,1)-DATE(YEAR(B47),1,1)))</f>
        <v>119.86319079391609</v>
      </c>
      <c r="G49" s="45">
        <f>IF(OR($B48="Усього",$B48=""),"",IF($S48=0,SUM(G$37:G48),0))</f>
        <v>0</v>
      </c>
      <c r="H49" s="45">
        <f>IF(OR($B48="Усього",$B48=""),"",IF($S48=0,SUM(H$37:H48),0))</f>
        <v>0</v>
      </c>
      <c r="I49" s="45">
        <f>IF(OR($B48="Усього",$B48=""),"",IF($S48=0,SUM(I$37:I48),0))</f>
        <v>0</v>
      </c>
      <c r="J49" s="45">
        <f>IF(OR($B48="Усього",$B48=""),"",IF($S48=0,SUM(J$37:J48),0))</f>
        <v>0</v>
      </c>
      <c r="K49" s="45">
        <f>IF(OR($B48="Усього",$B48=""),"",IF($S48=0,SUM(K$37:K48),0))</f>
        <v>0</v>
      </c>
      <c r="L49" s="45">
        <f>IF(OR($B48="Усього",$B48=""),"",IF($S48=0,SUM(L$37:L48),0))</f>
        <v>0</v>
      </c>
      <c r="M49" s="45">
        <f>IF(OR($B48="Усього",$B48=""),"",IF($S48=0,SUM(M$37:M48),0))</f>
        <v>0</v>
      </c>
      <c r="N49" s="45">
        <f>IF(OR($B48="Усього",$B48=""),"",IF($S48=0,SUM(N$37:N48),0))</f>
        <v>0</v>
      </c>
      <c r="O49" s="45">
        <f>IF(OR($B48="Усього",$B48=""),"",IF($S48=0,SUM(O$37:O48),S48*O29))</f>
        <v>31.507248197371982</v>
      </c>
      <c r="P49" s="45">
        <f>IF(OR($B48="Усього",$B48=""),"",IF($S48=0,SUM(P$37:P48),0))</f>
        <v>0</v>
      </c>
      <c r="Q49" s="74" t="str">
        <f>IF(OR($B48="Усього",$B48=""),"",IF($S48=0,_XLL.ЧИСТВНДОХ(D$37:D48,B$37:B48,0.2),"Х"))</f>
        <v>Х</v>
      </c>
      <c r="R49" s="75" t="str">
        <f>IF(DAY($O$14)=1,SUM(E49:P49),"Х")</f>
        <v>Х</v>
      </c>
      <c r="S49" s="76">
        <f t="shared" si="3"/>
        <v>0</v>
      </c>
      <c r="T49" s="77"/>
      <c r="U49" s="78"/>
    </row>
    <row r="50" spans="1:23" s="79" customFormat="1" ht="12" customHeight="1">
      <c r="A50" s="81"/>
      <c r="B50" s="73" t="str">
        <f>IF(DAY($O$14)=1,"","Усього")</f>
        <v>Усього</v>
      </c>
      <c r="C50" s="73"/>
      <c r="D50" s="45">
        <f>IF(DAY($O$14)=1,"",SUM(D38:D49))</f>
        <v>12781.896465244012</v>
      </c>
      <c r="E50" s="45">
        <f>IF(DAY($O$14)=1,"",SUM(E38:E49))</f>
        <v>10000</v>
      </c>
      <c r="F50" s="45">
        <f>IF(DAY($O$14)=1,"",SUM(F38:F49))</f>
        <v>2200.492762723382</v>
      </c>
      <c r="G50" s="45">
        <f aca="true" t="shared" si="6" ref="G50:P50">IF(DAY($O$14)=1,"",SUM(G37:G49))</f>
        <v>0</v>
      </c>
      <c r="H50" s="45">
        <f t="shared" si="6"/>
        <v>0</v>
      </c>
      <c r="I50" s="45">
        <f t="shared" si="6"/>
        <v>0</v>
      </c>
      <c r="J50" s="45">
        <f t="shared" si="6"/>
        <v>400</v>
      </c>
      <c r="K50" s="45">
        <f t="shared" si="6"/>
        <v>0</v>
      </c>
      <c r="L50" s="45">
        <f t="shared" si="6"/>
        <v>0</v>
      </c>
      <c r="M50" s="45">
        <f t="shared" si="6"/>
        <v>0</v>
      </c>
      <c r="N50" s="45">
        <f t="shared" si="6"/>
        <v>0</v>
      </c>
      <c r="O50" s="45">
        <f t="shared" si="6"/>
        <v>581.4037025206294</v>
      </c>
      <c r="P50" s="45">
        <f t="shared" si="6"/>
        <v>0</v>
      </c>
      <c r="Q50" s="74">
        <f>IF(OR($B49="Усього",$B49=""),"",IF($S49=0,_XLL.ЧИСТВНДОХ(D$37:D49,B$37:B49,0.2),"Х"))</f>
        <v>0.5751164257526398</v>
      </c>
      <c r="R50" s="85">
        <f>IF(OR($B49="Усього",$B49=""),"",IF($S49=0,SUM(E50:P50),"Х"))</f>
        <v>13181.89646524401</v>
      </c>
      <c r="S50" s="76">
        <f>IF(OR(B50="Усього",B50=""),"",IF($S49=0,"",IF(DATE(YEAR(B49),MONTH(B49)+1,DAY($O$18))&gt;$O$16,0,S49-E50)))</f>
      </c>
      <c r="T50" s="77">
        <f>IF(AND(B50&lt;=O16,B50&lt;&gt;""),"Невідповідність дат","")</f>
      </c>
      <c r="U50" s="78"/>
      <c r="V50" s="82" t="e">
        <f>IF(DAY(O14)=1,DATE(YEAR(#REF!),MONTH(#REF!),DAY($O$19)),DATE(YEAR(#REF!),MONTH(#REF!)+1,DAY($O$19)))</f>
        <v>#REF!</v>
      </c>
      <c r="W50" s="83">
        <f>DATE(YEAR($O$14)+2,MONTH($O$14),DAY($O$14)-1)</f>
        <v>44825</v>
      </c>
    </row>
    <row r="51" spans="2:21" ht="6.75" customHeight="1">
      <c r="B51" s="13"/>
      <c r="C51" s="13"/>
      <c r="D51" s="13"/>
      <c r="E51" s="13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5"/>
    </row>
    <row r="52" spans="6:21" s="13" customFormat="1" ht="0.75" customHeight="1" hidden="1">
      <c r="F52" s="37"/>
      <c r="G52" s="37"/>
      <c r="H52" s="37"/>
      <c r="I52" s="14"/>
      <c r="U52" s="55"/>
    </row>
    <row r="53" ht="11.25">
      <c r="E53" s="84"/>
    </row>
    <row r="54" spans="6:21" s="13" customFormat="1" ht="18">
      <c r="F54" s="14"/>
      <c r="G54" s="14"/>
      <c r="H54" s="14"/>
      <c r="I54" s="14"/>
      <c r="U54" s="55"/>
    </row>
    <row r="55" spans="6:21" s="13" customFormat="1" ht="5.25" customHeight="1">
      <c r="F55" s="14"/>
      <c r="G55" s="14"/>
      <c r="H55" s="14"/>
      <c r="I55" s="14"/>
      <c r="U55" s="55"/>
    </row>
    <row r="56" spans="2:21" s="13" customFormat="1" ht="18">
      <c r="B56" s="41"/>
      <c r="F56" s="14"/>
      <c r="G56" s="14"/>
      <c r="H56" s="14"/>
      <c r="I56" s="14"/>
      <c r="U56" s="55"/>
    </row>
    <row r="57" spans="2:21" s="13" customFormat="1" ht="10.5" customHeight="1">
      <c r="B57" s="41"/>
      <c r="U57" s="55"/>
    </row>
    <row r="58" spans="6:21" s="13" customFormat="1" ht="18">
      <c r="F58" s="14"/>
      <c r="G58" s="14"/>
      <c r="H58" s="14"/>
      <c r="I58" s="14"/>
      <c r="U58" s="55"/>
    </row>
    <row r="59" spans="6:21" s="13" customFormat="1" ht="18">
      <c r="F59" s="14"/>
      <c r="G59" s="14"/>
      <c r="H59" s="14"/>
      <c r="I59" s="14"/>
      <c r="U59" s="55"/>
    </row>
    <row r="60" spans="6:21" s="13" customFormat="1" ht="18">
      <c r="F60" s="14"/>
      <c r="G60" s="14"/>
      <c r="H60" s="14"/>
      <c r="I60" s="14"/>
      <c r="U60" s="55"/>
    </row>
    <row r="61" spans="6:21" s="13" customFormat="1" ht="18">
      <c r="F61" s="14"/>
      <c r="G61" s="14"/>
      <c r="H61" s="14"/>
      <c r="I61" s="14"/>
      <c r="U61" s="55"/>
    </row>
    <row r="62" spans="6:21" s="13" customFormat="1" ht="18">
      <c r="F62" s="14"/>
      <c r="G62" s="14"/>
      <c r="H62" s="14"/>
      <c r="I62" s="14"/>
      <c r="U62" s="55"/>
    </row>
    <row r="63" spans="6:21" s="13" customFormat="1" ht="18">
      <c r="F63" s="14"/>
      <c r="G63" s="14"/>
      <c r="H63" s="14"/>
      <c r="I63" s="14"/>
      <c r="U63" s="55"/>
    </row>
    <row r="64" spans="6:21" s="13" customFormat="1" ht="18">
      <c r="F64" s="14"/>
      <c r="G64" s="14"/>
      <c r="H64" s="14"/>
      <c r="I64" s="14"/>
      <c r="U64" s="55"/>
    </row>
    <row r="65" spans="4:21" s="13" customFormat="1" ht="11.25" customHeight="1">
      <c r="D65" s="22"/>
      <c r="F65" s="21"/>
      <c r="G65" s="21"/>
      <c r="H65" s="21"/>
      <c r="I65" s="14"/>
      <c r="J65" s="3"/>
      <c r="K65" s="3"/>
      <c r="L65" s="3"/>
      <c r="M65" s="3"/>
      <c r="N65" s="3"/>
      <c r="U65" s="55"/>
    </row>
    <row r="66" spans="6:21" s="13" customFormat="1" ht="5.25" customHeight="1">
      <c r="F66" s="14"/>
      <c r="G66" s="14"/>
      <c r="H66" s="14"/>
      <c r="I66" s="14"/>
      <c r="U66" s="55"/>
    </row>
    <row r="67" spans="6:21" s="13" customFormat="1" ht="18" hidden="1">
      <c r="F67" s="14"/>
      <c r="G67" s="14"/>
      <c r="H67" s="14"/>
      <c r="I67" s="14"/>
      <c r="U67" s="55"/>
    </row>
  </sheetData>
  <sheetProtection/>
  <protectedRanges>
    <protectedRange sqref="B10:H13 I10:N11 J12:J13" name="Диапазон12"/>
    <protectedRange sqref="B23:R24" name="Диапазон10"/>
    <protectedRange sqref="E10:H15 I10:N11 I15:N15" name="Диапазон8"/>
    <protectedRange sqref="E12:H12" name="Диапазон6"/>
    <protectedRange sqref="F19:H20" name="Диапазон4"/>
    <protectedRange sqref="O12:O13 O15:O16" name="Диапазон2"/>
    <protectedRange sqref="O7 P8:Q8 O2:Q4" name="Диапазон1"/>
    <protectedRange sqref="O9 O2:O7 B2:N9 P2:IV9" name="Диапазон5"/>
    <protectedRange sqref="B23:R24" name="Диапазон7"/>
    <protectedRange sqref="F10:H22 I10:N11 I15:N15 I17:N17 I20:N22" name="Диапазон9"/>
    <protectedRange sqref="I2:N9" name="Диапазон11"/>
    <protectedRange sqref="B54:O66" name="Диапазон3_1"/>
    <protectedRange sqref="O14" name="Диапазон2_1"/>
  </protectedRanges>
  <mergeCells count="44">
    <mergeCell ref="B1:P1"/>
    <mergeCell ref="O5:R6"/>
    <mergeCell ref="O7:P9"/>
    <mergeCell ref="J12:L12"/>
    <mergeCell ref="J13:L13"/>
    <mergeCell ref="J14:L14"/>
    <mergeCell ref="J16:L16"/>
    <mergeCell ref="B18:E18"/>
    <mergeCell ref="J18:L18"/>
    <mergeCell ref="J19:L19"/>
    <mergeCell ref="B23:R24"/>
    <mergeCell ref="B27:R27"/>
    <mergeCell ref="B28:N28"/>
    <mergeCell ref="B29:N29"/>
    <mergeCell ref="A30:R30"/>
    <mergeCell ref="A31:A34"/>
    <mergeCell ref="B31:B34"/>
    <mergeCell ref="C31:C34"/>
    <mergeCell ref="D31:D34"/>
    <mergeCell ref="E31:P31"/>
    <mergeCell ref="Q31:Q34"/>
    <mergeCell ref="R31:R34"/>
    <mergeCell ref="E32:E34"/>
    <mergeCell ref="F32:F34"/>
    <mergeCell ref="G32:P32"/>
    <mergeCell ref="G33:J33"/>
    <mergeCell ref="K33:L33"/>
    <mergeCell ref="M33:P33"/>
    <mergeCell ref="A35:A36"/>
    <mergeCell ref="B35:B36"/>
    <mergeCell ref="C35:C36"/>
    <mergeCell ref="D35:D36"/>
    <mergeCell ref="E35:E36"/>
    <mergeCell ref="F35:F36"/>
    <mergeCell ref="M35:M36"/>
    <mergeCell ref="N35:N36"/>
    <mergeCell ref="O35:O36"/>
    <mergeCell ref="P35:P36"/>
    <mergeCell ref="G35:G36"/>
    <mergeCell ref="H35:H36"/>
    <mergeCell ref="I35:I36"/>
    <mergeCell ref="J35:J36"/>
    <mergeCell ref="K35:K36"/>
    <mergeCell ref="L35:L36"/>
  </mergeCells>
  <conditionalFormatting sqref="Q28 O28">
    <cfRule type="cellIs" priority="1" dxfId="2" operator="equal" stopIfTrue="1">
      <formula>0</formula>
    </cfRule>
  </conditionalFormatting>
  <dataValidations count="4">
    <dataValidation showInputMessage="1" showErrorMessage="1" sqref="J2:N2"/>
    <dataValidation type="whole" operator="equal" allowBlank="1" showInputMessage="1" showErrorMessage="1" errorTitle="Увага!" error="За умовами продукту, підключення до M-banking є обов'язковим" sqref="F2:H2">
      <formula1>1</formula1>
    </dataValidation>
    <dataValidation type="list" allowBlank="1" showInputMessage="1" showErrorMessage="1" sqref="F19:H19">
      <formula1>$U$12:$U$13</formula1>
    </dataValidation>
    <dataValidation type="list" allowBlank="1" showInputMessage="1" showErrorMessage="1" sqref="O13">
      <formula1>$U$14:$U$15</formula1>
    </dataValidation>
  </dataValidations>
  <printOptions/>
  <pageMargins left="0" right="0" top="0" bottom="0" header="0" footer="0"/>
  <pageSetup fitToHeight="1" fitToWidth="1" horizontalDpi="600" verticalDpi="600" orientation="portrait" paperSize="9" scale="5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Олександр Павлович</dc:creator>
  <cp:keywords/>
  <dc:description/>
  <cp:lastModifiedBy>Дем'яненко Алла Леонідівна</cp:lastModifiedBy>
  <cp:lastPrinted>2016-04-28T12:09:23Z</cp:lastPrinted>
  <dcterms:created xsi:type="dcterms:W3CDTF">2007-05-30T09:57:41Z</dcterms:created>
  <dcterms:modified xsi:type="dcterms:W3CDTF">2020-09-22T12:42:20Z</dcterms:modified>
  <cp:category/>
  <cp:version/>
  <cp:contentType/>
  <cp:contentStatus/>
</cp:coreProperties>
</file>