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A:\СЗ\маркетологи\300821\"/>
    </mc:Choice>
  </mc:AlternateContent>
  <bookViews>
    <workbookView xWindow="15" yWindow="-15" windowWidth="15300" windowHeight="8670" tabRatio="280"/>
  </bookViews>
  <sheets>
    <sheet name="Домовичок 36% зп" sheetId="4" r:id="rId1"/>
    <sheet name="Календар (6)" sheetId="8" state="hidden" r:id="rId2"/>
  </sheets>
  <definedNames>
    <definedName name="avans2">#REF!</definedName>
    <definedName name="data2">#REF!</definedName>
    <definedName name="LastFIO" localSheetId="0">'Домовичок 36% зп'!#REF!</definedName>
    <definedName name="LastFIO" localSheetId="1">'Календар (6)'!#REF!</definedName>
    <definedName name="proc2">#REF!</definedName>
    <definedName name="stoimost2">#REF!</definedName>
    <definedName name="strok2">#REF!</definedName>
    <definedName name="sumkred2">#REF!</definedName>
    <definedName name="sumproplat2">#REF!</definedName>
    <definedName name="_xlnm.Print_Area" localSheetId="0">'Домовичок 36% зп'!$B$4:$R$70</definedName>
    <definedName name="_xlnm.Print_Area" localSheetId="1">'Календар (6)'!$B$2:$R$67</definedName>
  </definedNames>
  <calcPr calcId="162913"/>
</workbook>
</file>

<file path=xl/calcChain.xml><?xml version="1.0" encoding="utf-8"?>
<calcChain xmlns="http://schemas.openxmlformats.org/spreadsheetml/2006/main">
  <c r="O16" i="4" l="1"/>
  <c r="O18" i="4" s="1"/>
  <c r="B26" i="4" l="1"/>
  <c r="B40" i="4"/>
  <c r="F23" i="4"/>
  <c r="J14" i="4"/>
  <c r="J37" i="8"/>
  <c r="E37" i="8"/>
  <c r="E38" i="8"/>
  <c r="D31" i="8"/>
  <c r="B28" i="8"/>
  <c r="B22" i="8"/>
  <c r="P21" i="8"/>
  <c r="F21" i="8"/>
  <c r="B21" i="8"/>
  <c r="P19" i="8"/>
  <c r="J19" i="8"/>
  <c r="B19" i="8"/>
  <c r="R16" i="8"/>
  <c r="J16" i="8"/>
  <c r="O14" i="8"/>
  <c r="R49" i="8" s="1"/>
  <c r="J14" i="8"/>
  <c r="B14" i="8"/>
  <c r="J13" i="8"/>
  <c r="P12" i="8"/>
  <c r="J12" i="8"/>
  <c r="B12" i="8"/>
  <c r="R10" i="8"/>
  <c r="B10" i="8"/>
  <c r="B9" i="8"/>
  <c r="B8" i="8"/>
  <c r="B7" i="8"/>
  <c r="B6" i="8"/>
  <c r="J5" i="8"/>
  <c r="D5" i="8"/>
  <c r="J4" i="8"/>
  <c r="E4" i="8"/>
  <c r="D4" i="8"/>
  <c r="J3" i="8"/>
  <c r="I3" i="8"/>
  <c r="E3" i="8"/>
  <c r="D3" i="8"/>
  <c r="B3" i="8"/>
  <c r="J40" i="4"/>
  <c r="D40" i="4" s="1"/>
  <c r="E40" i="4"/>
  <c r="E41" i="4"/>
  <c r="D34" i="4"/>
  <c r="B25" i="4"/>
  <c r="B23" i="4"/>
  <c r="J21" i="4"/>
  <c r="B21" i="4"/>
  <c r="J18" i="4"/>
  <c r="J16" i="4"/>
  <c r="B16" i="4"/>
  <c r="J15" i="4"/>
  <c r="B14" i="4"/>
  <c r="R12" i="4"/>
  <c r="B12" i="4"/>
  <c r="J7" i="4"/>
  <c r="J6" i="4"/>
  <c r="E6" i="4"/>
  <c r="J5" i="4"/>
  <c r="I5" i="4"/>
  <c r="E5" i="4"/>
  <c r="D5" i="4"/>
  <c r="B5" i="4"/>
  <c r="D37" i="8"/>
  <c r="S37" i="8"/>
  <c r="S40" i="4"/>
  <c r="O41" i="4"/>
  <c r="Q38" i="8"/>
  <c r="O38" i="8"/>
  <c r="Q41" i="4"/>
  <c r="A52" i="4"/>
  <c r="W53" i="4"/>
  <c r="B52" i="4"/>
  <c r="V53" i="4"/>
  <c r="B53" i="4"/>
  <c r="S53" i="4" s="1"/>
  <c r="B37" i="8" l="1"/>
  <c r="B38" i="8" s="1"/>
  <c r="V50" i="8"/>
  <c r="B50" i="8"/>
  <c r="S50" i="8" s="1"/>
  <c r="W50" i="8"/>
  <c r="O16" i="8"/>
  <c r="B49" i="8" s="1"/>
  <c r="P18" i="8"/>
  <c r="T53" i="4"/>
  <c r="A49" i="8"/>
  <c r="S41" i="4"/>
  <c r="E42" i="4" s="1"/>
  <c r="R41" i="4"/>
  <c r="J41" i="4"/>
  <c r="B41" i="4"/>
  <c r="B42" i="4" s="1"/>
  <c r="B43" i="4" s="1"/>
  <c r="J38" i="8" l="1"/>
  <c r="T50" i="8"/>
  <c r="R38" i="8"/>
  <c r="S38" i="8"/>
  <c r="Q39" i="8" s="1"/>
  <c r="P16" i="8"/>
  <c r="T41" i="4"/>
  <c r="O42" i="4"/>
  <c r="T42" i="4"/>
  <c r="Q42" i="4"/>
  <c r="C42" i="4"/>
  <c r="C41" i="4"/>
  <c r="S42" i="4"/>
  <c r="R43" i="4" s="1"/>
  <c r="R42" i="4"/>
  <c r="J42" i="4"/>
  <c r="F41" i="4"/>
  <c r="D41" i="4" s="1"/>
  <c r="T43" i="4"/>
  <c r="C43" i="4"/>
  <c r="B44" i="4"/>
  <c r="F38" i="8"/>
  <c r="B39" i="8"/>
  <c r="C38" i="8"/>
  <c r="T38" i="8"/>
  <c r="O39" i="8" l="1"/>
  <c r="E39" i="8"/>
  <c r="S39" i="8" s="1"/>
  <c r="R40" i="8" s="1"/>
  <c r="R39" i="8"/>
  <c r="J39" i="8"/>
  <c r="E43" i="4"/>
  <c r="S43" i="4" s="1"/>
  <c r="E44" i="4" s="1"/>
  <c r="S44" i="4" s="1"/>
  <c r="F43" i="4"/>
  <c r="J43" i="4"/>
  <c r="Q43" i="4"/>
  <c r="O43" i="4"/>
  <c r="F42" i="4"/>
  <c r="D42" i="4" s="1"/>
  <c r="C39" i="8"/>
  <c r="F39" i="8"/>
  <c r="T39" i="8"/>
  <c r="B40" i="8"/>
  <c r="D38" i="8"/>
  <c r="T44" i="4"/>
  <c r="C44" i="4"/>
  <c r="B45" i="4"/>
  <c r="F44" i="4" l="1"/>
  <c r="Q40" i="8"/>
  <c r="O40" i="8"/>
  <c r="D39" i="8"/>
  <c r="J40" i="8"/>
  <c r="E40" i="8"/>
  <c r="S40" i="8" s="1"/>
  <c r="O41" i="8" s="1"/>
  <c r="Q44" i="4"/>
  <c r="J44" i="4"/>
  <c r="O44" i="4"/>
  <c r="R44" i="4"/>
  <c r="D43" i="4"/>
  <c r="C45" i="4"/>
  <c r="T45" i="4"/>
  <c r="B46" i="4"/>
  <c r="E45" i="4"/>
  <c r="S45" i="4" s="1"/>
  <c r="O45" i="4"/>
  <c r="R45" i="4"/>
  <c r="Q45" i="4"/>
  <c r="F45" i="4"/>
  <c r="J45" i="4"/>
  <c r="T40" i="8"/>
  <c r="B41" i="8"/>
  <c r="C40" i="8"/>
  <c r="F40" i="8"/>
  <c r="D44" i="4" l="1"/>
  <c r="Q41" i="8"/>
  <c r="J41" i="8"/>
  <c r="E41" i="8"/>
  <c r="S41" i="8" s="1"/>
  <c r="E42" i="8" s="1"/>
  <c r="S42" i="8" s="1"/>
  <c r="R41" i="8"/>
  <c r="D45" i="4"/>
  <c r="Q46" i="4"/>
  <c r="R46" i="4"/>
  <c r="F46" i="4"/>
  <c r="T41" i="8"/>
  <c r="C41" i="8"/>
  <c r="B42" i="8"/>
  <c r="C46" i="4"/>
  <c r="T46" i="4"/>
  <c r="B47" i="4"/>
  <c r="J46" i="4"/>
  <c r="F41" i="8"/>
  <c r="D40" i="8"/>
  <c r="E46" i="4"/>
  <c r="O46" i="4"/>
  <c r="Q42" i="8" l="1"/>
  <c r="J42" i="8"/>
  <c r="F42" i="8"/>
  <c r="R42" i="8"/>
  <c r="O42" i="8"/>
  <c r="D41" i="8"/>
  <c r="D46" i="4"/>
  <c r="S46" i="4"/>
  <c r="R47" i="4" s="1"/>
  <c r="E43" i="8"/>
  <c r="O43" i="8"/>
  <c r="B43" i="8"/>
  <c r="F43" i="8" s="1"/>
  <c r="T42" i="8"/>
  <c r="J43" i="8"/>
  <c r="C42" i="8"/>
  <c r="R43" i="8"/>
  <c r="Q43" i="8"/>
  <c r="B48" i="4"/>
  <c r="T47" i="4"/>
  <c r="C47" i="4"/>
  <c r="J47" i="4"/>
  <c r="D42" i="8" l="1"/>
  <c r="F47" i="4"/>
  <c r="O47" i="4"/>
  <c r="Q47" i="4"/>
  <c r="E47" i="4"/>
  <c r="B44" i="8"/>
  <c r="C43" i="8"/>
  <c r="T43" i="8"/>
  <c r="S43" i="8"/>
  <c r="Q44" i="8" s="1"/>
  <c r="C48" i="4"/>
  <c r="B49" i="4"/>
  <c r="T48" i="4"/>
  <c r="D43" i="8"/>
  <c r="D47" i="4" l="1"/>
  <c r="S47" i="4"/>
  <c r="R48" i="4" s="1"/>
  <c r="J44" i="8"/>
  <c r="C49" i="4"/>
  <c r="B50" i="4"/>
  <c r="T49" i="4"/>
  <c r="F44" i="8"/>
  <c r="T44" i="8"/>
  <c r="B45" i="8"/>
  <c r="C44" i="8"/>
  <c r="E44" i="8"/>
  <c r="S44" i="8" s="1"/>
  <c r="O44" i="8"/>
  <c r="R44" i="8"/>
  <c r="F48" i="4" l="1"/>
  <c r="O48" i="4"/>
  <c r="E48" i="4"/>
  <c r="S48" i="4" s="1"/>
  <c r="F49" i="4" s="1"/>
  <c r="J48" i="4"/>
  <c r="Q48" i="4"/>
  <c r="O45" i="8"/>
  <c r="E45" i="8"/>
  <c r="S45" i="8" s="1"/>
  <c r="Q45" i="8"/>
  <c r="R45" i="8"/>
  <c r="F45" i="8"/>
  <c r="J45" i="8"/>
  <c r="C45" i="8"/>
  <c r="T45" i="8"/>
  <c r="B46" i="8"/>
  <c r="B51" i="4"/>
  <c r="T50" i="4"/>
  <c r="C50" i="4"/>
  <c r="D44" i="8"/>
  <c r="Q49" i="4" l="1"/>
  <c r="D48" i="4"/>
  <c r="R49" i="4"/>
  <c r="E49" i="4"/>
  <c r="S49" i="4" s="1"/>
  <c r="R50" i="4" s="1"/>
  <c r="J49" i="4"/>
  <c r="O49" i="4"/>
  <c r="O46" i="8"/>
  <c r="E46" i="8"/>
  <c r="Q46" i="8"/>
  <c r="F46" i="8"/>
  <c r="R46" i="8"/>
  <c r="J46" i="8"/>
  <c r="C46" i="8"/>
  <c r="T46" i="8"/>
  <c r="B47" i="8"/>
  <c r="D45" i="8"/>
  <c r="Q40" i="4"/>
  <c r="C52" i="4"/>
  <c r="C51" i="4"/>
  <c r="T51" i="4"/>
  <c r="D49" i="4" l="1"/>
  <c r="J50" i="4"/>
  <c r="Q50" i="4"/>
  <c r="O50" i="4"/>
  <c r="F50" i="4"/>
  <c r="E50" i="4"/>
  <c r="S50" i="4" s="1"/>
  <c r="D46" i="8"/>
  <c r="S46" i="8"/>
  <c r="C47" i="8"/>
  <c r="T47" i="8"/>
  <c r="B48" i="8"/>
  <c r="F51" i="4" l="1"/>
  <c r="E51" i="4"/>
  <c r="R51" i="4"/>
  <c r="J51" i="4"/>
  <c r="O51" i="4"/>
  <c r="Q51" i="4"/>
  <c r="D50" i="4"/>
  <c r="C48" i="8"/>
  <c r="Q37" i="8"/>
  <c r="T48" i="8"/>
  <c r="C49" i="8"/>
  <c r="O47" i="8"/>
  <c r="E47" i="8"/>
  <c r="R47" i="8"/>
  <c r="Q47" i="8"/>
  <c r="J47" i="8"/>
  <c r="F47" i="8"/>
  <c r="D51" i="4" l="1"/>
  <c r="S51" i="4"/>
  <c r="D47" i="8"/>
  <c r="S47" i="8"/>
  <c r="E48" i="8" s="1"/>
  <c r="P52" i="4" l="1"/>
  <c r="P53" i="4" s="1"/>
  <c r="N52" i="4"/>
  <c r="N53" i="4" s="1"/>
  <c r="K52" i="4"/>
  <c r="K53" i="4" s="1"/>
  <c r="E52" i="4"/>
  <c r="S52" i="4" s="1"/>
  <c r="M52" i="4"/>
  <c r="M53" i="4" s="1"/>
  <c r="I52" i="4"/>
  <c r="I53" i="4" s="1"/>
  <c r="J52" i="4"/>
  <c r="J53" i="4" s="1"/>
  <c r="H52" i="4"/>
  <c r="G52" i="4"/>
  <c r="G53" i="4" s="1"/>
  <c r="O52" i="4"/>
  <c r="O53" i="4" s="1"/>
  <c r="F52" i="4"/>
  <c r="F53" i="4" s="1"/>
  <c r="L52" i="4"/>
  <c r="Q52" i="4"/>
  <c r="J48" i="8"/>
  <c r="S48" i="8"/>
  <c r="E49" i="8" s="1"/>
  <c r="E50" i="8" s="1"/>
  <c r="F48" i="8"/>
  <c r="R48" i="8"/>
  <c r="O48" i="8"/>
  <c r="Q48" i="8"/>
  <c r="R52" i="4" l="1"/>
  <c r="F49" i="8"/>
  <c r="F50" i="8" s="1"/>
  <c r="D48" i="8"/>
  <c r="L53" i="4"/>
  <c r="L58" i="4" s="1"/>
  <c r="H53" i="4"/>
  <c r="L57" i="4" s="1"/>
  <c r="E53" i="4"/>
  <c r="D52" i="4"/>
  <c r="D53" i="4" s="1"/>
  <c r="K49" i="8"/>
  <c r="K50" i="8" s="1"/>
  <c r="S49" i="8"/>
  <c r="J49" i="8"/>
  <c r="J50" i="8" s="1"/>
  <c r="Q49" i="8"/>
  <c r="N49" i="8"/>
  <c r="N50" i="8" s="1"/>
  <c r="I49" i="8"/>
  <c r="I50" i="8" s="1"/>
  <c r="P49" i="8"/>
  <c r="P50" i="8" s="1"/>
  <c r="L49" i="8"/>
  <c r="L50" i="8" s="1"/>
  <c r="G49" i="8"/>
  <c r="G50" i="8" s="1"/>
  <c r="M49" i="8"/>
  <c r="M50" i="8" s="1"/>
  <c r="O49" i="8"/>
  <c r="O50" i="8" s="1"/>
  <c r="H49" i="8"/>
  <c r="H50" i="8" s="1"/>
  <c r="Q53" i="4" l="1"/>
  <c r="L60" i="4" s="1"/>
  <c r="R53" i="4"/>
  <c r="L59" i="4" s="1"/>
  <c r="L56" i="4" s="1"/>
  <c r="R50" i="8"/>
  <c r="D49" i="8"/>
  <c r="D50" i="8" s="1"/>
  <c r="Q50" i="8" l="1"/>
</calcChain>
</file>

<file path=xl/comments1.xml><?xml version="1.0" encoding="utf-8"?>
<comments xmlns="http://schemas.openxmlformats.org/spreadsheetml/2006/main">
  <authors>
    <author>Дем'яненко Алла Леонідівна</author>
  </authors>
  <commentList>
    <comment ref="O14" authorId="0" shapeId="0">
      <text>
        <r>
          <rPr>
            <b/>
            <sz val="9"/>
            <color indexed="81"/>
            <rFont val="Tahoma"/>
            <family val="2"/>
            <charset val="204"/>
          </rPr>
          <t>Введіть суму ліміту овердрафту</t>
        </r>
      </text>
    </comment>
  </commentList>
</comments>
</file>

<file path=xl/sharedStrings.xml><?xml version="1.0" encoding="utf-8"?>
<sst xmlns="http://schemas.openxmlformats.org/spreadsheetml/2006/main" count="126" uniqueCount="74">
  <si>
    <t>розрахунково-касове обслуговування</t>
  </si>
  <si>
    <t>Х</t>
  </si>
  <si>
    <t>Залишок заборгованості</t>
  </si>
  <si>
    <t>Підключено M-banking</t>
  </si>
  <si>
    <t>так</t>
  </si>
  <si>
    <t>Інші послуги, якими можливо скористатися</t>
  </si>
  <si>
    <t>при обслуговуванні - тарифний план</t>
  </si>
  <si>
    <t>Кількість місяців використання овердрафту</t>
  </si>
  <si>
    <t>Комісія за встановлення ліміту овердрафту
(оплачується одноразово при встановленні ліміту)</t>
  </si>
  <si>
    <t>Для розрахунку приймається варіант  подорожчання кредиту за таких умов:</t>
  </si>
  <si>
    <t>Картка моментального випуску</t>
  </si>
  <si>
    <t>ні</t>
  </si>
  <si>
    <t>Позичальник скористається всією сумою кредитного ліміту в день отримання кредиту шляхом зняття готівки в установі банку, або банкоматі АБ «УКРГАЗБАНК».</t>
  </si>
  <si>
    <t>Процента ставка в пільговий період</t>
  </si>
  <si>
    <t>Погашення основної суми боргу за дозволеним овердрафтом  здійснюватиметься щомісяця до 25 числа та становить 7%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</si>
  <si>
    <t>Щомісячний платіж за страхування життя власника рахунку від фактичної заборгованості станом на 1-е число місяця (не стягується у разі наявності заборгованості менше ніж 100,00 грн, та/або відсутності операцій по рахунку у звітному місяці) становить</t>
  </si>
  <si>
    <t>х</t>
  </si>
  <si>
    <t>банку</t>
  </si>
  <si>
    <t>за обслуговування кредитної заборгованості</t>
  </si>
  <si>
    <t>кредитного посередника (за наявності)</t>
  </si>
  <si>
    <t>комісійний збір</t>
  </si>
  <si>
    <t>інша плата за послуги кредитного посередника</t>
  </si>
  <si>
    <t>третіх осіб</t>
  </si>
  <si>
    <t>послуги нотаріуса</t>
  </si>
  <si>
    <t>послуги оцінювача</t>
  </si>
  <si>
    <t>послуги страховика</t>
  </si>
  <si>
    <t>7</t>
  </si>
  <si>
    <t>№ з/п</t>
  </si>
  <si>
    <t>2</t>
  </si>
  <si>
    <t>3</t>
  </si>
  <si>
    <t>4</t>
  </si>
  <si>
    <t>5</t>
  </si>
  <si>
    <t>Кількість днів у розрахунковому періоді</t>
  </si>
  <si>
    <t>Дата видачі кредиту у формі овердафту/ дата платежу</t>
  </si>
  <si>
    <t>сума кредиту у формі овердрафту за договором</t>
  </si>
  <si>
    <t>6</t>
  </si>
  <si>
    <t>проценти за користування кредитом у формі овердрафту</t>
  </si>
  <si>
    <t>Види платежів за кредитом у формі оведрафту</t>
  </si>
  <si>
    <t>8</t>
  </si>
  <si>
    <t>9</t>
  </si>
  <si>
    <t>10</t>
  </si>
  <si>
    <t>комісія за видачу готівки 
в установах та банкоматах  АБ "УКРГАЗБАНК"</t>
  </si>
  <si>
    <t>11</t>
  </si>
  <si>
    <t>12</t>
  </si>
  <si>
    <t>13</t>
  </si>
  <si>
    <t>14</t>
  </si>
  <si>
    <t>15</t>
  </si>
  <si>
    <t>16</t>
  </si>
  <si>
    <t>інші послуги третії осіб</t>
  </si>
  <si>
    <t>Овер-ДРАЙВ</t>
  </si>
  <si>
    <t>17</t>
  </si>
  <si>
    <t>18</t>
  </si>
  <si>
    <t xml:space="preserve">Реальна річна процентна ставка, 
% </t>
  </si>
  <si>
    <t>Загальна вартість кредиту, грн</t>
  </si>
  <si>
    <t xml:space="preserve">Додаток 2 до рішення КР АБ «УКРГАЗБАНК»
№____ від ___ _______  року
</t>
  </si>
  <si>
    <t>Таблиця обчислення загальної вартості кредиту для Клієнта та реальної річної процентної ставки за договором про споживчий кредит на початкову (запитувану) суму ліміту дозволеного овердрафту:</t>
  </si>
  <si>
    <t>платежі за додаткові та супутні послуги</t>
  </si>
  <si>
    <r>
      <t xml:space="preserve">комісія за надання </t>
    </r>
    <r>
      <rPr>
        <b/>
        <sz val="8"/>
        <rFont val="Arial Cyr"/>
        <family val="2"/>
        <charset val="204"/>
      </rPr>
      <t>кредиту у формі овердрафту</t>
    </r>
  </si>
  <si>
    <t xml:space="preserve">Таблиця обчислення загальної вартості кредиту для Клієнта та реальної річної процентної ставки за договором про споживчий кредит за програмою «Домовичок» </t>
  </si>
  <si>
    <t>РКО</t>
  </si>
  <si>
    <t>комісія за надання кредиту у формі овердрафту</t>
  </si>
  <si>
    <t>грн</t>
  </si>
  <si>
    <t>числа кожного місяця</t>
  </si>
  <si>
    <t>платежі за супровідні послуги</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</si>
  <si>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</si>
  <si>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</si>
  <si>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</si>
  <si>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</si>
  <si>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</si>
  <si>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</si>
  <si>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</si>
  <si>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</si>
  <si>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r>
      <t xml:space="preserve">Погашення основної суми боргу за дозволеним овердрафтом  здійснюватиметься щомісяця </t>
    </r>
    <r>
      <rPr>
        <b/>
        <sz val="8"/>
        <rFont val="Times New Roman"/>
        <family val="1"/>
        <charset val="204"/>
      </rPr>
      <t>до 25 числа</t>
    </r>
    <r>
      <rPr>
        <sz val="8"/>
        <rFont val="Times New Roman"/>
        <family val="1"/>
        <charset val="204"/>
      </rPr>
      <t xml:space="preserve"> та становить </t>
    </r>
    <r>
      <rPr>
        <b/>
        <sz val="8"/>
        <rFont val="Times New Roman"/>
        <family val="1"/>
        <charset val="204"/>
      </rPr>
      <t xml:space="preserve">7% </t>
    </r>
    <r>
      <rPr>
        <sz val="8"/>
        <rFont val="Times New Roman"/>
        <family val="1"/>
        <charset val="204"/>
      </rPr>
      <t xml:space="preserve">від фактичної заборгованості по основному боргу на 1-ше число кожного місяця (мінімум </t>
    </r>
    <r>
      <rPr>
        <b/>
        <sz val="8"/>
        <rFont val="Times New Roman"/>
        <family val="1"/>
        <charset val="204"/>
      </rPr>
      <t xml:space="preserve">50,00 грн. </t>
    </r>
    <r>
      <rPr>
        <sz val="8"/>
        <rFont val="Times New Roman"/>
        <family val="1"/>
        <charset val="204"/>
      </rPr>
      <t>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r>
  </si>
  <si>
    <r>
      <t xml:space="preserve">Калькулятор витрат
 за програмою кредитування </t>
    </r>
    <r>
      <rPr>
        <b/>
        <sz val="12"/>
        <rFont val="Arial Cyr"/>
        <charset val="204"/>
      </rPr>
      <t>"Домовичок"</t>
    </r>
    <r>
      <rPr>
        <sz val="12"/>
        <rFont val="Arial Cyr"/>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</si>
</sst>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0.0000"/>
    <numFmt numFmtId="167" formatCode="0.0000%"/>
  </numFmts>
  <fonts count="34" x14ac:knownFonts="1">
    <font>
      <sz val="10"/>
      <name val="Arial Cyr"/>
      <charset val="204"/>
    </font>
    <font>
      <sz val="10"/>
      <name val="Arial Cyr"/>
      <charset val="204"/>
    </font>
    <font>
      <sz val="8"/>
      <name val="Arial Cyr"/>
      <family val="2"/>
      <charset val="204"/>
    </font>
    <font>
      <sz val="8"/>
      <color indexed="23"/>
      <name val="Arial Cyr"/>
      <family val="2"/>
      <charset val="204"/>
    </font>
    <font>
      <b/>
      <sz val="8"/>
      <color indexed="10"/>
      <name val="Arial Cyr"/>
      <family val="2"/>
      <charset val="204"/>
    </font>
    <font>
      <sz val="14"/>
      <name val="Arial Cyr"/>
      <family val="2"/>
      <charset val="204"/>
    </font>
    <font>
      <sz val="8"/>
      <color indexed="9"/>
      <name val="Arial Cyr"/>
      <family val="2"/>
      <charset val="204"/>
    </font>
    <font>
      <sz val="6"/>
      <name val="Arial Cyr"/>
      <family val="2"/>
      <charset val="204"/>
    </font>
    <font>
      <sz val="8"/>
      <name val="Arial Cyr"/>
      <family val="2"/>
      <charset val="204"/>
    </font>
    <font>
      <b/>
      <sz val="8"/>
      <name val="Arial Cyr"/>
      <family val="2"/>
      <charset val="204"/>
    </font>
    <font>
      <sz val="12"/>
      <name val="Arial Cyr"/>
      <family val="2"/>
      <charset val="204"/>
    </font>
    <font>
      <sz val="9"/>
      <name val="Arial Cyr"/>
      <family val="2"/>
      <charset val="204"/>
    </font>
    <font>
      <b/>
      <sz val="9"/>
      <name val="Arial Cyr"/>
      <charset val="204"/>
    </font>
    <font>
      <sz val="8"/>
      <name val="Arial Cyr"/>
      <charset val="204"/>
    </font>
    <font>
      <b/>
      <sz val="8"/>
      <name val="Arial Cyr"/>
      <charset val="204"/>
    </font>
    <font>
      <b/>
      <sz val="12"/>
      <name val="Arial Cyr"/>
      <family val="2"/>
      <charset val="204"/>
    </font>
    <font>
      <b/>
      <sz val="12"/>
      <name val="Times New Roman"/>
      <family val="1"/>
      <charset val="204"/>
    </font>
    <font>
      <sz val="8"/>
      <name val="Times New Roman"/>
      <family val="1"/>
      <charset val="204"/>
    </font>
    <font>
      <sz val="9"/>
      <name val="Times New Roman"/>
      <family val="1"/>
      <charset val="204"/>
    </font>
    <font>
      <b/>
      <sz val="8"/>
      <name val="Times New Roman"/>
      <family val="1"/>
      <charset val="204"/>
    </font>
    <font>
      <b/>
      <sz val="10"/>
      <name val="Times New Roman"/>
      <family val="1"/>
      <charset val="204"/>
    </font>
    <font>
      <b/>
      <sz val="11"/>
      <name val="Times New Roman"/>
      <family val="1"/>
      <charset val="204"/>
    </font>
    <font>
      <b/>
      <sz val="9"/>
      <color indexed="81"/>
      <name val="Tahoma"/>
      <family val="2"/>
      <charset val="204"/>
    </font>
    <font>
      <sz val="8"/>
      <color theme="0"/>
      <name val="Arial Cyr"/>
      <family val="2"/>
      <charset val="204"/>
    </font>
    <font>
      <sz val="8"/>
      <color rgb="FFFF0000"/>
      <name val="Arial Cyr"/>
      <family val="2"/>
      <charset val="204"/>
    </font>
    <font>
      <sz val="14"/>
      <color rgb="FFFF0000"/>
      <name val="Arial Cyr"/>
      <family val="2"/>
      <charset val="204"/>
    </font>
    <font>
      <b/>
      <sz val="8"/>
      <color theme="0"/>
      <name val="Arial Cyr"/>
      <family val="2"/>
      <charset val="204"/>
    </font>
    <font>
      <sz val="14"/>
      <color theme="0"/>
      <name val="Arial Cyr"/>
      <family val="2"/>
      <charset val="204"/>
    </font>
    <font>
      <b/>
      <sz val="8"/>
      <color rgb="FFFF0000"/>
      <name val="Arial Cyr"/>
      <charset val="204"/>
    </font>
    <font>
      <sz val="8"/>
      <color theme="0"/>
      <name val="Times New Roman"/>
      <family val="1"/>
      <charset val="204"/>
    </font>
    <font>
      <b/>
      <sz val="8"/>
      <color theme="0"/>
      <name val="Times New Roman"/>
      <family val="1"/>
      <charset val="204"/>
    </font>
    <font>
      <sz val="11"/>
      <color theme="1"/>
      <name val="Calibri"/>
      <family val="2"/>
      <scheme val="minor"/>
    </font>
    <font>
      <sz val="10"/>
      <name val="Times New Roman"/>
      <family val="1"/>
      <charset val="204"/>
    </font>
    <font>
      <b/>
      <sz val="12"/>
      <name val="Arial Cyr"/>
      <charset val="204"/>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31" fillId="0" borderId="0"/>
  </cellStyleXfs>
  <cellXfs count="259">
    <xf numFmtId="0" fontId="0" fillId="0" borderId="0" xfId="0"/>
    <xf numFmtId="0" fontId="2" fillId="0" borderId="0" xfId="0" applyFont="1" applyAlignment="1">
      <alignment horizontal="left"/>
    </xf>
    <xf numFmtId="4" fontId="2" fillId="0" borderId="0" xfId="0" applyNumberFormat="1" applyFont="1" applyBorder="1" applyAlignment="1">
      <alignment horizontal="left"/>
    </xf>
    <xf numFmtId="0" fontId="2" fillId="0" borderId="0" xfId="0" applyFont="1"/>
    <xf numFmtId="4" fontId="3" fillId="0" borderId="0" xfId="0" applyNumberFormat="1" applyFont="1"/>
    <xf numFmtId="0" fontId="3" fillId="0" borderId="0" xfId="0" applyFont="1" applyBorder="1" applyAlignment="1">
      <alignment horizontal="center" vertical="top" wrapText="1"/>
    </xf>
    <xf numFmtId="0" fontId="4" fillId="0" borderId="0" xfId="0" applyFont="1"/>
    <xf numFmtId="0" fontId="2" fillId="0" borderId="0" xfId="0" applyFont="1" applyBorder="1"/>
    <xf numFmtId="10" fontId="2" fillId="0" borderId="1" xfId="1" applyNumberFormat="1" applyFont="1" applyBorder="1" applyAlignment="1">
      <alignment horizontal="center"/>
    </xf>
    <xf numFmtId="4" fontId="2" fillId="0" borderId="1" xfId="0" applyNumberFormat="1" applyFont="1" applyBorder="1" applyAlignment="1">
      <alignment horizontal="center"/>
    </xf>
    <xf numFmtId="0" fontId="2" fillId="0" borderId="1" xfId="0" applyFont="1" applyBorder="1" applyAlignment="1">
      <alignment horizontal="center" vertical="top" wrapText="1"/>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5" fillId="0" borderId="0" xfId="0" applyFont="1"/>
    <xf numFmtId="0" fontId="5" fillId="0" borderId="0" xfId="0" applyFont="1" applyAlignment="1">
      <alignment horizontal="left"/>
    </xf>
    <xf numFmtId="9" fontId="2" fillId="0" borderId="4" xfId="1" applyFont="1" applyBorder="1" applyAlignment="1">
      <alignment horizontal="center"/>
    </xf>
    <xf numFmtId="0" fontId="6" fillId="0" borderId="0" xfId="0" applyFont="1"/>
    <xf numFmtId="165" fontId="2" fillId="0" borderId="4" xfId="1" applyNumberFormat="1" applyFont="1" applyBorder="1" applyAlignment="1">
      <alignment horizontal="center"/>
    </xf>
    <xf numFmtId="14" fontId="2" fillId="0" borderId="0" xfId="0" applyNumberFormat="1" applyFont="1"/>
    <xf numFmtId="166" fontId="6" fillId="0" borderId="0" xfId="0" applyNumberFormat="1" applyFont="1" applyBorder="1" applyAlignment="1">
      <alignment horizontal="right"/>
    </xf>
    <xf numFmtId="0" fontId="6" fillId="0" borderId="0" xfId="0" applyFont="1" applyBorder="1"/>
    <xf numFmtId="0" fontId="7" fillId="0" borderId="0" xfId="0" applyFont="1" applyAlignment="1">
      <alignment horizontal="left"/>
    </xf>
    <xf numFmtId="0" fontId="7" fillId="0" borderId="0" xfId="0" applyFont="1" applyAlignment="1">
      <alignment horizontal="center"/>
    </xf>
    <xf numFmtId="0" fontId="8" fillId="0" borderId="0" xfId="0" applyFont="1"/>
    <xf numFmtId="0" fontId="8" fillId="0" borderId="0" xfId="0" applyFont="1" applyAlignment="1">
      <alignment horizontal="left"/>
    </xf>
    <xf numFmtId="0" fontId="9" fillId="0" borderId="0" xfId="0" applyFont="1"/>
    <xf numFmtId="3" fontId="2" fillId="0" borderId="4" xfId="0" applyNumberFormat="1" applyFont="1" applyBorder="1" applyAlignment="1">
      <alignment horizontal="left"/>
    </xf>
    <xf numFmtId="165" fontId="2" fillId="0" borderId="4" xfId="0" applyNumberFormat="1" applyFont="1" applyBorder="1" applyAlignment="1">
      <alignment horizontal="center"/>
    </xf>
    <xf numFmtId="0" fontId="23" fillId="0" borderId="0" xfId="0" applyFont="1"/>
    <xf numFmtId="4" fontId="4" fillId="0" borderId="0" xfId="0" applyNumberFormat="1" applyFont="1"/>
    <xf numFmtId="0" fontId="2" fillId="2" borderId="0" xfId="0" applyFont="1" applyFill="1"/>
    <xf numFmtId="0" fontId="2" fillId="2" borderId="0" xfId="0" applyFont="1" applyFill="1" applyAlignment="1">
      <alignment horizontal="left"/>
    </xf>
    <xf numFmtId="0" fontId="24" fillId="0" borderId="0" xfId="0" applyFont="1"/>
    <xf numFmtId="0" fontId="25" fillId="0" borderId="0" xfId="0" applyFont="1"/>
    <xf numFmtId="0" fontId="26" fillId="0" borderId="0" xfId="0" applyFont="1"/>
    <xf numFmtId="167" fontId="2" fillId="0" borderId="4" xfId="1" applyNumberFormat="1" applyFont="1" applyBorder="1" applyAlignment="1">
      <alignment horizontal="center"/>
    </xf>
    <xf numFmtId="0" fontId="11" fillId="0" borderId="0" xfId="0" applyFont="1"/>
    <xf numFmtId="4" fontId="2" fillId="0" borderId="0" xfId="0" applyNumberFormat="1" applyFont="1" applyAlignment="1">
      <alignment horizontal="left"/>
    </xf>
    <xf numFmtId="14" fontId="2" fillId="0" borderId="4" xfId="0" applyNumberFormat="1" applyFont="1" applyBorder="1" applyAlignment="1" applyProtection="1">
      <alignment horizontal="left"/>
      <protection hidden="1"/>
    </xf>
    <xf numFmtId="14" fontId="2" fillId="0" borderId="4" xfId="0" applyNumberFormat="1" applyFont="1" applyBorder="1" applyAlignment="1" applyProtection="1">
      <alignment horizontal="left"/>
      <protection locked="0"/>
    </xf>
    <xf numFmtId="0" fontId="2" fillId="0" borderId="5" xfId="0" applyFont="1" applyBorder="1" applyAlignment="1">
      <alignment horizontal="center" vertical="top" wrapText="1"/>
    </xf>
    <xf numFmtId="14" fontId="2" fillId="0" borderId="1" xfId="0" applyNumberFormat="1" applyFont="1" applyBorder="1" applyAlignment="1">
      <alignment horizontal="center"/>
    </xf>
    <xf numFmtId="0" fontId="23" fillId="0" borderId="0" xfId="0" applyFont="1" applyAlignment="1" applyProtection="1">
      <protection locked="0"/>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4" fontId="2" fillId="0"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0" fontId="23" fillId="0" borderId="0" xfId="0" applyFont="1" applyAlignment="1">
      <alignment horizontal="left"/>
    </xf>
    <xf numFmtId="0" fontId="23" fillId="0" borderId="0" xfId="0" applyFont="1" applyAlignment="1"/>
    <xf numFmtId="4" fontId="3" fillId="0" borderId="0" xfId="0" applyNumberFormat="1" applyFont="1" applyAlignment="1">
      <alignment vertical="center"/>
    </xf>
    <xf numFmtId="4" fontId="2" fillId="0" borderId="0" xfId="0" applyNumberFormat="1" applyFont="1" applyAlignment="1">
      <alignment vertical="center"/>
    </xf>
    <xf numFmtId="0" fontId="2" fillId="0" borderId="0" xfId="0" applyFont="1" applyAlignment="1">
      <alignment vertical="center"/>
    </xf>
    <xf numFmtId="165" fontId="23" fillId="0" borderId="0" xfId="1" applyNumberFormat="1" applyFont="1"/>
    <xf numFmtId="4" fontId="23" fillId="0" borderId="0" xfId="0" applyNumberFormat="1" applyFont="1"/>
    <xf numFmtId="0" fontId="23" fillId="0" borderId="0" xfId="0" applyFont="1" applyAlignment="1">
      <alignment vertical="center"/>
    </xf>
    <xf numFmtId="0" fontId="27" fillId="0" borderId="0" xfId="0" applyFont="1"/>
    <xf numFmtId="4" fontId="2" fillId="0" borderId="4" xfId="0" applyNumberFormat="1" applyFont="1" applyBorder="1" applyAlignment="1" applyProtection="1">
      <alignment horizontal="left" vertical="center"/>
      <protection hidden="1"/>
    </xf>
    <xf numFmtId="1" fontId="2" fillId="0" borderId="4" xfId="0" applyNumberFormat="1" applyFont="1" applyBorder="1" applyAlignment="1">
      <alignment horizontal="left" vertical="center"/>
    </xf>
    <xf numFmtId="165" fontId="2" fillId="0" borderId="0" xfId="0" applyNumberFormat="1" applyFont="1" applyFill="1" applyBorder="1" applyAlignment="1">
      <alignment horizontal="left"/>
    </xf>
    <xf numFmtId="0" fontId="2" fillId="0" borderId="0" xfId="0" applyFont="1" applyAlignment="1">
      <alignment vertical="top" wrapText="1"/>
    </xf>
    <xf numFmtId="10" fontId="2" fillId="0" borderId="0" xfId="0" applyNumberFormat="1" applyFont="1" applyAlignment="1">
      <alignment horizontal="left" vertical="center" wrapText="1"/>
    </xf>
    <xf numFmtId="165" fontId="2" fillId="0" borderId="0" xfId="0" applyNumberFormat="1" applyFont="1" applyBorder="1" applyAlignment="1">
      <alignment horizontal="center"/>
    </xf>
    <xf numFmtId="165" fontId="2" fillId="0" borderId="0" xfId="1" applyNumberFormat="1" applyFont="1" applyBorder="1" applyAlignment="1">
      <alignment horizontal="center"/>
    </xf>
    <xf numFmtId="167" fontId="2" fillId="0" borderId="0" xfId="1" applyNumberFormat="1" applyFont="1" applyBorder="1" applyAlignment="1">
      <alignment horizontal="center"/>
    </xf>
    <xf numFmtId="9" fontId="2" fillId="0" borderId="0" xfId="1" applyFont="1" applyBorder="1" applyAlignment="1">
      <alignment horizontal="center"/>
    </xf>
    <xf numFmtId="0" fontId="2" fillId="0" borderId="6" xfId="0" applyFont="1" applyBorder="1" applyAlignment="1">
      <alignment horizontal="center" vertical="top" wrapText="1"/>
    </xf>
    <xf numFmtId="0" fontId="8" fillId="0" borderId="0" xfId="0" applyFont="1" applyBorder="1"/>
    <xf numFmtId="0" fontId="28" fillId="0" borderId="0" xfId="0" applyFont="1" applyBorder="1" applyAlignment="1">
      <alignment horizontal="left"/>
    </xf>
    <xf numFmtId="0" fontId="2" fillId="0" borderId="0" xfId="0" applyFont="1" applyBorder="1" applyAlignment="1">
      <alignment horizontal="left"/>
    </xf>
    <xf numFmtId="0" fontId="8" fillId="0" borderId="0" xfId="0" applyFont="1" applyBorder="1" applyAlignment="1">
      <alignment horizontal="left" vertical="center"/>
    </xf>
    <xf numFmtId="0" fontId="2" fillId="0" borderId="4" xfId="0" applyFont="1" applyBorder="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Fill="1" applyBorder="1" applyAlignment="1">
      <alignment horizontal="center" vertical="center"/>
    </xf>
    <xf numFmtId="10" fontId="2" fillId="0" borderId="1" xfId="1" applyNumberFormat="1" applyFont="1" applyFill="1" applyBorder="1" applyAlignment="1">
      <alignment horizontal="center"/>
    </xf>
    <xf numFmtId="4" fontId="2" fillId="0" borderId="1" xfId="0" applyNumberFormat="1" applyFont="1" applyFill="1" applyBorder="1" applyAlignment="1">
      <alignment horizontal="center"/>
    </xf>
    <xf numFmtId="4" fontId="3" fillId="0" borderId="0" xfId="0" applyNumberFormat="1" applyFont="1" applyFill="1"/>
    <xf numFmtId="4" fontId="4" fillId="0" borderId="0" xfId="0" applyNumberFormat="1" applyFont="1" applyFill="1"/>
    <xf numFmtId="0" fontId="23" fillId="0" borderId="0" xfId="0" applyFont="1" applyFill="1"/>
    <xf numFmtId="0" fontId="2" fillId="0" borderId="0" xfId="0" applyFont="1" applyFill="1"/>
    <xf numFmtId="0" fontId="2" fillId="0" borderId="0" xfId="0" applyFont="1" applyAlignment="1">
      <alignment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left" wrapText="1"/>
    </xf>
    <xf numFmtId="14" fontId="2" fillId="0" borderId="4" xfId="0" applyNumberFormat="1" applyFont="1" applyFill="1" applyBorder="1" applyAlignment="1">
      <alignment horizontal="left"/>
    </xf>
    <xf numFmtId="4" fontId="2" fillId="0" borderId="0" xfId="0" applyNumberFormat="1" applyFont="1"/>
    <xf numFmtId="164" fontId="2" fillId="0" borderId="1" xfId="2" applyFont="1" applyFill="1" applyBorder="1" applyAlignment="1">
      <alignment horizontal="center"/>
    </xf>
    <xf numFmtId="0" fontId="9" fillId="0" borderId="5" xfId="0" applyFont="1" applyBorder="1" applyAlignment="1">
      <alignment horizontal="center" vertical="top" wrapText="1"/>
    </xf>
    <xf numFmtId="49"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xf>
    <xf numFmtId="4" fontId="14" fillId="0" borderId="4" xfId="0" applyNumberFormat="1" applyFont="1" applyBorder="1" applyAlignment="1" applyProtection="1">
      <alignment horizontal="left" vertical="center"/>
      <protection hidden="1"/>
    </xf>
    <xf numFmtId="4" fontId="14" fillId="3" borderId="4" xfId="0" applyNumberFormat="1" applyFont="1" applyFill="1" applyBorder="1" applyAlignment="1" applyProtection="1">
      <alignment horizontal="left" vertical="center"/>
      <protection hidden="1"/>
    </xf>
    <xf numFmtId="0" fontId="2" fillId="0" borderId="0" xfId="0" applyFont="1" applyAlignment="1" applyProtection="1">
      <alignment wrapText="1"/>
      <protection hidden="1"/>
    </xf>
    <xf numFmtId="0" fontId="2" fillId="0" borderId="0" xfId="0" applyFont="1" applyProtection="1">
      <protection hidden="1"/>
    </xf>
    <xf numFmtId="0" fontId="23" fillId="0" borderId="0" xfId="0" applyFont="1" applyProtection="1">
      <protection hidden="1"/>
    </xf>
    <xf numFmtId="0" fontId="23" fillId="0" borderId="0" xfId="0" applyFont="1" applyAlignment="1" applyProtection="1">
      <alignment horizontal="left"/>
      <protection hidden="1"/>
    </xf>
    <xf numFmtId="0" fontId="5" fillId="0" borderId="0" xfId="0" applyFont="1" applyProtection="1">
      <protection hidden="1"/>
    </xf>
    <xf numFmtId="0" fontId="23" fillId="0" borderId="0" xfId="0" applyFont="1" applyAlignment="1" applyProtection="1">
      <protection hidden="1"/>
    </xf>
    <xf numFmtId="0" fontId="11" fillId="0" borderId="0" xfId="0" applyFont="1" applyProtection="1">
      <protection hidden="1"/>
    </xf>
    <xf numFmtId="0" fontId="2" fillId="0" borderId="0" xfId="0" applyFont="1" applyAlignment="1" applyProtection="1">
      <alignment horizontal="left"/>
      <protection hidden="1"/>
    </xf>
    <xf numFmtId="0" fontId="5" fillId="0" borderId="0" xfId="0" applyFont="1" applyAlignment="1" applyProtection="1">
      <alignment horizontal="left"/>
      <protection hidden="1"/>
    </xf>
    <xf numFmtId="0" fontId="9" fillId="0" borderId="0" xfId="0" applyFont="1" applyProtection="1">
      <protection hidden="1"/>
    </xf>
    <xf numFmtId="0" fontId="2" fillId="0" borderId="0" xfId="0" applyFont="1" applyBorder="1" applyProtection="1">
      <protection hidden="1"/>
    </xf>
    <xf numFmtId="0" fontId="14" fillId="0" borderId="0" xfId="0" applyFont="1" applyBorder="1" applyAlignment="1" applyProtection="1">
      <alignment horizontal="left"/>
      <protection hidden="1"/>
    </xf>
    <xf numFmtId="0" fontId="2" fillId="0" borderId="0" xfId="0" applyFont="1" applyFill="1" applyProtection="1">
      <protection hidden="1"/>
    </xf>
    <xf numFmtId="0" fontId="23" fillId="0" borderId="0" xfId="0" applyFont="1" applyFill="1" applyProtection="1">
      <protection hidden="1"/>
    </xf>
    <xf numFmtId="166" fontId="23" fillId="0" borderId="0" xfId="0" applyNumberFormat="1" applyFont="1" applyFill="1" applyBorder="1" applyAlignment="1" applyProtection="1">
      <alignment horizontal="right"/>
      <protection hidden="1"/>
    </xf>
    <xf numFmtId="165" fontId="23" fillId="0" borderId="0" xfId="1" applyNumberFormat="1" applyFont="1" applyFill="1" applyProtection="1">
      <protection hidden="1"/>
    </xf>
    <xf numFmtId="0" fontId="2" fillId="0" borderId="0" xfId="0" applyFont="1" applyBorder="1" applyAlignment="1" applyProtection="1">
      <alignment horizontal="left"/>
      <protection hidden="1"/>
    </xf>
    <xf numFmtId="0" fontId="23" fillId="0" borderId="0" xfId="0" applyFont="1" applyFill="1" applyBorder="1" applyProtection="1">
      <protection hidden="1"/>
    </xf>
    <xf numFmtId="4" fontId="23" fillId="0" borderId="0" xfId="0" applyNumberFormat="1" applyFont="1" applyFill="1" applyProtection="1">
      <protection hidden="1"/>
    </xf>
    <xf numFmtId="0" fontId="2" fillId="0" borderId="4" xfId="0" applyFont="1" applyBorder="1" applyProtection="1">
      <protection hidden="1"/>
    </xf>
    <xf numFmtId="0" fontId="2" fillId="2" borderId="0" xfId="0" applyFont="1" applyFill="1" applyProtection="1">
      <protection hidden="1"/>
    </xf>
    <xf numFmtId="0" fontId="2" fillId="2" borderId="0" xfId="0" applyFont="1" applyFill="1" applyAlignment="1" applyProtection="1">
      <alignment horizontal="left"/>
      <protection hidden="1"/>
    </xf>
    <xf numFmtId="0" fontId="17" fillId="0" borderId="0" xfId="0" applyFont="1" applyProtection="1">
      <protection hidden="1"/>
    </xf>
    <xf numFmtId="165" fontId="17" fillId="0" borderId="4" xfId="0" applyNumberFormat="1" applyFont="1" applyBorder="1" applyAlignment="1" applyProtection="1">
      <alignment horizontal="center"/>
      <protection hidden="1"/>
    </xf>
    <xf numFmtId="165" fontId="29" fillId="0" borderId="0" xfId="0" applyNumberFormat="1" applyFont="1" applyBorder="1" applyAlignment="1" applyProtection="1">
      <alignment horizontal="center"/>
      <protection hidden="1"/>
    </xf>
    <xf numFmtId="165" fontId="17" fillId="0" borderId="0" xfId="0" applyNumberFormat="1" applyFont="1" applyBorder="1" applyAlignment="1" applyProtection="1">
      <alignment horizontal="center"/>
      <protection hidden="1"/>
    </xf>
    <xf numFmtId="0" fontId="17" fillId="0" borderId="0" xfId="0" applyFont="1" applyAlignment="1" applyProtection="1">
      <alignment horizontal="left"/>
      <protection hidden="1"/>
    </xf>
    <xf numFmtId="0" fontId="17" fillId="0" borderId="0" xfId="0" applyFont="1" applyBorder="1" applyAlignment="1" applyProtection="1">
      <alignment horizontal="left" vertical="center"/>
      <protection hidden="1"/>
    </xf>
    <xf numFmtId="1" fontId="17" fillId="0" borderId="4" xfId="0" applyNumberFormat="1" applyFont="1" applyBorder="1" applyAlignment="1" applyProtection="1">
      <alignment horizontal="left" vertical="center"/>
      <protection hidden="1"/>
    </xf>
    <xf numFmtId="0" fontId="30" fillId="0" borderId="0" xfId="0" applyFont="1" applyFill="1" applyProtection="1">
      <protection hidden="1"/>
    </xf>
    <xf numFmtId="0" fontId="29" fillId="0" borderId="0" xfId="0" applyFont="1" applyFill="1" applyBorder="1" applyProtection="1">
      <protection hidden="1"/>
    </xf>
    <xf numFmtId="0" fontId="29" fillId="0" borderId="0" xfId="0" applyFont="1" applyFill="1" applyProtection="1">
      <protection hidden="1"/>
    </xf>
    <xf numFmtId="165" fontId="17" fillId="0" borderId="4" xfId="1" applyNumberFormat="1" applyFont="1" applyBorder="1" applyAlignment="1" applyProtection="1">
      <alignment horizontal="center"/>
      <protection hidden="1"/>
    </xf>
    <xf numFmtId="165" fontId="29" fillId="0" borderId="0" xfId="1" applyNumberFormat="1" applyFont="1" applyBorder="1" applyAlignment="1" applyProtection="1">
      <alignment horizontal="center"/>
      <protection hidden="1"/>
    </xf>
    <xf numFmtId="165" fontId="17" fillId="0" borderId="0" xfId="1" applyNumberFormat="1" applyFont="1" applyBorder="1" applyAlignment="1" applyProtection="1">
      <alignment horizontal="center"/>
      <protection hidden="1"/>
    </xf>
    <xf numFmtId="0" fontId="17" fillId="0" borderId="0" xfId="0" applyFont="1" applyBorder="1" applyAlignment="1" applyProtection="1">
      <alignment horizontal="left"/>
      <protection hidden="1"/>
    </xf>
    <xf numFmtId="3" fontId="17" fillId="0" borderId="4" xfId="0" applyNumberFormat="1" applyFont="1" applyBorder="1" applyAlignment="1" applyProtection="1">
      <alignment horizontal="left"/>
      <protection hidden="1"/>
    </xf>
    <xf numFmtId="0" fontId="17" fillId="0" borderId="0" xfId="0" applyFont="1" applyFill="1" applyProtection="1">
      <protection hidden="1"/>
    </xf>
    <xf numFmtId="166" fontId="29" fillId="0" borderId="0" xfId="0" applyNumberFormat="1" applyFont="1" applyFill="1" applyBorder="1" applyAlignment="1" applyProtection="1">
      <alignment horizontal="right"/>
      <protection hidden="1"/>
    </xf>
    <xf numFmtId="167" fontId="17" fillId="0" borderId="4" xfId="1" applyNumberFormat="1" applyFont="1" applyBorder="1" applyAlignment="1" applyProtection="1">
      <alignment horizontal="center"/>
      <protection hidden="1"/>
    </xf>
    <xf numFmtId="167" fontId="29" fillId="0" borderId="0" xfId="1" applyNumberFormat="1" applyFont="1" applyBorder="1" applyAlignment="1" applyProtection="1">
      <alignment horizontal="center"/>
      <protection hidden="1"/>
    </xf>
    <xf numFmtId="167" fontId="17" fillId="0" borderId="0" xfId="1" applyNumberFormat="1" applyFont="1" applyBorder="1" applyAlignment="1" applyProtection="1">
      <alignment horizontal="center"/>
      <protection hidden="1"/>
    </xf>
    <xf numFmtId="0" fontId="17" fillId="0" borderId="0" xfId="0" applyFont="1" applyBorder="1" applyProtection="1">
      <protection hidden="1"/>
    </xf>
    <xf numFmtId="9" fontId="17" fillId="0" borderId="4" xfId="1" applyFont="1" applyBorder="1" applyAlignment="1" applyProtection="1">
      <alignment horizontal="center"/>
      <protection hidden="1"/>
    </xf>
    <xf numFmtId="9" fontId="17" fillId="0" borderId="0" xfId="1" applyFont="1" applyBorder="1" applyAlignment="1" applyProtection="1">
      <alignment horizontal="center"/>
      <protection hidden="1"/>
    </xf>
    <xf numFmtId="0" fontId="21" fillId="0" borderId="0" xfId="0" applyFont="1" applyBorder="1" applyProtection="1">
      <protection hidden="1"/>
    </xf>
    <xf numFmtId="4" fontId="2" fillId="0" borderId="0" xfId="0" applyNumberFormat="1" applyFont="1" applyBorder="1" applyAlignment="1" applyProtection="1">
      <alignment horizontal="left"/>
      <protection hidden="1"/>
    </xf>
    <xf numFmtId="4" fontId="17" fillId="0" borderId="0" xfId="0" applyNumberFormat="1" applyFont="1" applyBorder="1" applyAlignment="1" applyProtection="1">
      <alignment horizontal="left"/>
      <protection hidden="1"/>
    </xf>
    <xf numFmtId="14" fontId="17" fillId="0" borderId="0" xfId="0" applyNumberFormat="1" applyFont="1" applyProtection="1">
      <protection hidden="1"/>
    </xf>
    <xf numFmtId="165" fontId="17" fillId="0" borderId="0" xfId="0" applyNumberFormat="1" applyFont="1" applyFill="1" applyBorder="1" applyAlignment="1" applyProtection="1">
      <alignment horizontal="left"/>
      <protection hidden="1"/>
    </xf>
    <xf numFmtId="0" fontId="17" fillId="0" borderId="0" xfId="0" applyFont="1" applyAlignment="1" applyProtection="1">
      <alignment vertical="top" wrapText="1"/>
      <protection hidden="1"/>
    </xf>
    <xf numFmtId="10" fontId="17" fillId="0" borderId="0" xfId="0" applyNumberFormat="1" applyFont="1" applyAlignment="1" applyProtection="1">
      <alignment horizontal="left" vertical="center" wrapText="1"/>
      <protection hidden="1"/>
    </xf>
    <xf numFmtId="0" fontId="17" fillId="0" borderId="0" xfId="0" applyFont="1" applyBorder="1" applyAlignment="1" applyProtection="1">
      <alignment horizontal="center" vertical="top" wrapText="1"/>
      <protection hidden="1"/>
    </xf>
    <xf numFmtId="0" fontId="17" fillId="0" borderId="5" xfId="0" applyFont="1" applyBorder="1" applyAlignment="1" applyProtection="1">
      <alignment horizontal="center" vertical="top" wrapText="1"/>
      <protection hidden="1"/>
    </xf>
    <xf numFmtId="0" fontId="17" fillId="0" borderId="1" xfId="0" applyFont="1" applyBorder="1" applyAlignment="1" applyProtection="1">
      <alignment horizontal="center" vertical="top" wrapText="1"/>
      <protection hidden="1"/>
    </xf>
    <xf numFmtId="0" fontId="17" fillId="0" borderId="5" xfId="0" applyFont="1" applyBorder="1" applyAlignment="1" applyProtection="1">
      <alignment horizontal="center" vertical="center" wrapText="1"/>
      <protection hidden="1"/>
    </xf>
    <xf numFmtId="49" fontId="17" fillId="0" borderId="1" xfId="0" applyNumberFormat="1"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6" xfId="0" applyFont="1" applyBorder="1" applyAlignment="1" applyProtection="1">
      <alignment horizontal="center" vertical="top" wrapText="1"/>
      <protection hidden="1"/>
    </xf>
    <xf numFmtId="49" fontId="17" fillId="0" borderId="2" xfId="0" applyNumberFormat="1" applyFont="1" applyBorder="1" applyAlignment="1" applyProtection="1">
      <alignment horizontal="center"/>
      <protection hidden="1"/>
    </xf>
    <xf numFmtId="49" fontId="17" fillId="0" borderId="3" xfId="0" applyNumberFormat="1" applyFont="1" applyBorder="1" applyAlignment="1" applyProtection="1">
      <alignment horizontal="center"/>
      <protection hidden="1"/>
    </xf>
    <xf numFmtId="0" fontId="17" fillId="0" borderId="1" xfId="0" applyFont="1" applyBorder="1" applyAlignment="1" applyProtection="1">
      <alignment horizontal="center" vertical="center"/>
      <protection hidden="1"/>
    </xf>
    <xf numFmtId="14" fontId="17" fillId="0" borderId="1" xfId="0" applyNumberFormat="1" applyFont="1" applyBorder="1" applyAlignment="1" applyProtection="1">
      <alignment horizontal="center" vertical="center"/>
      <protection hidden="1"/>
    </xf>
    <xf numFmtId="0" fontId="17" fillId="0" borderId="1" xfId="0" applyFont="1" applyFill="1" applyBorder="1" applyAlignment="1" applyProtection="1">
      <alignment horizontal="center" vertical="center"/>
      <protection hidden="1"/>
    </xf>
    <xf numFmtId="4" fontId="17" fillId="0" borderId="1" xfId="0" applyNumberFormat="1" applyFont="1" applyBorder="1" applyAlignment="1" applyProtection="1">
      <alignment horizontal="center" vertical="center"/>
      <protection hidden="1"/>
    </xf>
    <xf numFmtId="4" fontId="17" fillId="0" borderId="1" xfId="0" applyNumberFormat="1" applyFont="1" applyFill="1" applyBorder="1" applyAlignment="1" applyProtection="1">
      <alignment horizontal="center" vertical="center"/>
      <protection hidden="1"/>
    </xf>
    <xf numFmtId="10" fontId="17" fillId="0" borderId="1" xfId="1" applyNumberFormat="1" applyFont="1" applyFill="1" applyBorder="1" applyAlignment="1" applyProtection="1">
      <alignment horizontal="center"/>
      <protection hidden="1"/>
    </xf>
    <xf numFmtId="4" fontId="17"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14" fontId="17" fillId="0" borderId="1" xfId="0" applyNumberFormat="1" applyFont="1" applyBorder="1" applyAlignment="1" applyProtection="1">
      <alignment horizontal="center"/>
      <protection hidden="1"/>
    </xf>
    <xf numFmtId="2" fontId="17" fillId="0" borderId="1" xfId="0" applyNumberFormat="1" applyFont="1" applyFill="1" applyBorder="1" applyAlignment="1" applyProtection="1">
      <alignment horizontal="center"/>
      <protection hidden="1"/>
    </xf>
    <xf numFmtId="10" fontId="17" fillId="0" borderId="1" xfId="1" applyNumberFormat="1" applyFont="1" applyBorder="1" applyAlignment="1" applyProtection="1">
      <alignment horizontal="center"/>
      <protection hidden="1"/>
    </xf>
    <xf numFmtId="4" fontId="17" fillId="0" borderId="1" xfId="0" applyNumberFormat="1" applyFont="1" applyBorder="1" applyAlignment="1" applyProtection="1">
      <alignment horizontal="center"/>
      <protection hidden="1"/>
    </xf>
    <xf numFmtId="4" fontId="17" fillId="0" borderId="0" xfId="0" applyNumberFormat="1" applyFont="1" applyProtection="1">
      <protection hidden="1"/>
    </xf>
    <xf numFmtId="4" fontId="19" fillId="0" borderId="0" xfId="0" applyNumberFormat="1" applyFont="1" applyProtection="1">
      <protection hidden="1"/>
    </xf>
    <xf numFmtId="4" fontId="2" fillId="0" borderId="0" xfId="0" applyNumberFormat="1" applyFont="1" applyProtection="1">
      <protection hidden="1"/>
    </xf>
    <xf numFmtId="14" fontId="17" fillId="0" borderId="1" xfId="0" applyNumberFormat="1" applyFont="1" applyFill="1" applyBorder="1" applyAlignment="1" applyProtection="1">
      <alignment horizontal="center" vertical="center"/>
      <protection hidden="1"/>
    </xf>
    <xf numFmtId="4" fontId="17" fillId="0" borderId="1" xfId="0" applyNumberFormat="1" applyFont="1" applyFill="1" applyBorder="1" applyAlignment="1" applyProtection="1">
      <alignment horizontal="center"/>
      <protection hidden="1"/>
    </xf>
    <xf numFmtId="4" fontId="17" fillId="0" borderId="0" xfId="0" applyNumberFormat="1" applyFont="1" applyFill="1" applyProtection="1">
      <protection hidden="1"/>
    </xf>
    <xf numFmtId="4" fontId="19" fillId="0" borderId="0" xfId="0" applyNumberFormat="1" applyFont="1" applyFill="1" applyProtection="1">
      <protection hidden="1"/>
    </xf>
    <xf numFmtId="164" fontId="17" fillId="0" borderId="1" xfId="2" applyFont="1" applyFill="1" applyBorder="1" applyAlignment="1" applyProtection="1">
      <alignment horizontal="center"/>
      <protection hidden="1"/>
    </xf>
    <xf numFmtId="14" fontId="2" fillId="0" borderId="1" xfId="0" applyNumberFormat="1" applyFont="1" applyFill="1" applyBorder="1" applyAlignment="1" applyProtection="1">
      <alignment horizontal="left" wrapText="1"/>
      <protection hidden="1"/>
    </xf>
    <xf numFmtId="14" fontId="2" fillId="0" borderId="4" xfId="0" applyNumberFormat="1" applyFont="1" applyFill="1" applyBorder="1" applyAlignment="1" applyProtection="1">
      <alignment horizontal="left"/>
      <protection hidden="1"/>
    </xf>
    <xf numFmtId="4" fontId="2"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4" fontId="20" fillId="0" borderId="0" xfId="0" applyNumberFormat="1" applyFont="1" applyFill="1" applyBorder="1" applyAlignment="1" applyProtection="1">
      <alignment horizontal="center" vertical="center"/>
      <protection hidden="1"/>
    </xf>
    <xf numFmtId="0" fontId="2" fillId="0" borderId="0" xfId="0" applyFont="1" applyFill="1" applyBorder="1" applyProtection="1">
      <protection hidden="1"/>
    </xf>
    <xf numFmtId="4" fontId="32" fillId="2" borderId="4" xfId="0" applyNumberFormat="1" applyFont="1" applyFill="1" applyBorder="1" applyAlignment="1" applyProtection="1">
      <protection hidden="1"/>
    </xf>
    <xf numFmtId="0" fontId="32" fillId="2" borderId="0" xfId="0" applyFont="1" applyFill="1" applyAlignment="1" applyProtection="1">
      <protection hidden="1"/>
    </xf>
    <xf numFmtId="4" fontId="32" fillId="4" borderId="13" xfId="0" applyNumberFormat="1" applyFont="1" applyFill="1" applyBorder="1" applyProtection="1">
      <protection hidden="1"/>
    </xf>
    <xf numFmtId="10" fontId="32" fillId="4" borderId="13" xfId="0" applyNumberFormat="1" applyFont="1" applyFill="1" applyBorder="1" applyProtection="1">
      <protection hidden="1"/>
    </xf>
    <xf numFmtId="0" fontId="10" fillId="0" borderId="0" xfId="0" applyFont="1" applyAlignment="1" applyProtection="1">
      <alignment horizontal="center"/>
      <protection hidden="1"/>
    </xf>
    <xf numFmtId="0" fontId="16" fillId="0" borderId="0" xfId="0" applyFont="1" applyAlignment="1" applyProtection="1">
      <alignment wrapText="1"/>
      <protection hidden="1"/>
    </xf>
    <xf numFmtId="0" fontId="19" fillId="0" borderId="0" xfId="0" applyFont="1" applyProtection="1">
      <protection hidden="1"/>
    </xf>
    <xf numFmtId="165" fontId="19" fillId="0" borderId="0" xfId="0" applyNumberFormat="1" applyFont="1" applyFill="1" applyBorder="1" applyAlignment="1" applyProtection="1">
      <alignment horizontal="left"/>
      <protection hidden="1"/>
    </xf>
    <xf numFmtId="10" fontId="19" fillId="0" borderId="0" xfId="0" applyNumberFormat="1" applyFont="1" applyAlignment="1" applyProtection="1">
      <alignment horizontal="left" vertical="center" wrapText="1"/>
      <protection hidden="1"/>
    </xf>
    <xf numFmtId="0" fontId="32" fillId="2" borderId="4" xfId="3" applyFont="1" applyFill="1" applyBorder="1" applyAlignment="1">
      <alignment horizontal="left" vertical="center" wrapText="1"/>
    </xf>
    <xf numFmtId="0" fontId="1" fillId="2" borderId="4" xfId="0" applyFont="1" applyFill="1" applyBorder="1" applyAlignment="1">
      <alignment horizontal="left"/>
    </xf>
    <xf numFmtId="0" fontId="32" fillId="2" borderId="14" xfId="3" applyFont="1" applyFill="1" applyBorder="1" applyAlignment="1">
      <alignment horizontal="left" vertical="center" wrapText="1"/>
    </xf>
    <xf numFmtId="49" fontId="17" fillId="0" borderId="2" xfId="0" applyNumberFormat="1" applyFont="1" applyBorder="1" applyAlignment="1" applyProtection="1">
      <alignment horizontal="center" vertical="center"/>
      <protection hidden="1"/>
    </xf>
    <xf numFmtId="49" fontId="17" fillId="0" borderId="3" xfId="0" applyNumberFormat="1" applyFont="1" applyBorder="1" applyAlignment="1" applyProtection="1">
      <alignment horizontal="center" vertical="center"/>
      <protection hidden="1"/>
    </xf>
    <xf numFmtId="49" fontId="17" fillId="0" borderId="10" xfId="0" applyNumberFormat="1" applyFont="1" applyBorder="1" applyAlignment="1" applyProtection="1">
      <alignment horizontal="center" vertical="center"/>
      <protection hidden="1"/>
    </xf>
    <xf numFmtId="49" fontId="17" fillId="0" borderId="12" xfId="0" applyNumberFormat="1" applyFont="1" applyBorder="1" applyAlignment="1" applyProtection="1">
      <alignment horizontal="center" vertical="center"/>
      <protection hidden="1"/>
    </xf>
    <xf numFmtId="49" fontId="17" fillId="0" borderId="2" xfId="0" applyNumberFormat="1" applyFont="1" applyFill="1" applyBorder="1" applyAlignment="1" applyProtection="1">
      <alignment horizontal="center" vertical="center"/>
      <protection hidden="1"/>
    </xf>
    <xf numFmtId="49" fontId="17" fillId="0" borderId="3" xfId="0" applyNumberFormat="1" applyFont="1" applyFill="1" applyBorder="1" applyAlignment="1" applyProtection="1">
      <alignment horizontal="center" vertical="center"/>
      <protection hidden="1"/>
    </xf>
    <xf numFmtId="0" fontId="17" fillId="0" borderId="2"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2" xfId="0" applyFont="1" applyBorder="1" applyAlignment="1" applyProtection="1">
      <alignment horizontal="center" vertical="top" wrapText="1"/>
      <protection hidden="1"/>
    </xf>
    <xf numFmtId="0" fontId="17" fillId="0" borderId="8" xfId="0" applyFont="1" applyBorder="1" applyAlignment="1" applyProtection="1">
      <alignment horizontal="center" vertical="top" wrapText="1"/>
      <protection hidden="1"/>
    </xf>
    <xf numFmtId="0" fontId="17" fillId="0" borderId="3" xfId="0" applyFont="1" applyBorder="1" applyAlignment="1" applyProtection="1">
      <alignment horizontal="center" vertical="top" wrapText="1"/>
      <protection hidden="1"/>
    </xf>
    <xf numFmtId="0" fontId="17" fillId="0" borderId="2" xfId="0" applyFont="1" applyFill="1" applyBorder="1" applyAlignment="1" applyProtection="1">
      <alignment horizontal="center" vertical="top" wrapText="1"/>
      <protection hidden="1"/>
    </xf>
    <xf numFmtId="0" fontId="17" fillId="0" borderId="8" xfId="0" applyFont="1" applyFill="1" applyBorder="1" applyAlignment="1" applyProtection="1">
      <alignment horizontal="center" vertical="top" wrapText="1"/>
      <protection hidden="1"/>
    </xf>
    <xf numFmtId="0" fontId="17" fillId="0" borderId="3" xfId="0" applyFont="1" applyFill="1" applyBorder="1" applyAlignment="1" applyProtection="1">
      <alignment horizontal="center" vertical="top" wrapText="1"/>
      <protection hidden="1"/>
    </xf>
    <xf numFmtId="0" fontId="17" fillId="0" borderId="10"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6"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0" xfId="0" applyFont="1" applyAlignment="1" applyProtection="1">
      <alignment horizontal="left" wrapText="1"/>
      <protection hidden="1"/>
    </xf>
    <xf numFmtId="0" fontId="17" fillId="0" borderId="0" xfId="0" applyFont="1" applyAlignment="1" applyProtection="1">
      <alignment horizontal="left" vertical="top" wrapText="1"/>
      <protection hidden="1"/>
    </xf>
    <xf numFmtId="0" fontId="18" fillId="0" borderId="0" xfId="0" applyFont="1" applyBorder="1" applyAlignment="1" applyProtection="1">
      <alignment horizontal="center" wrapText="1"/>
      <protection hidden="1"/>
    </xf>
    <xf numFmtId="0" fontId="2" fillId="0" borderId="0" xfId="0" applyFont="1" applyAlignment="1" applyProtection="1">
      <alignment horizontal="left"/>
      <protection hidden="1"/>
    </xf>
    <xf numFmtId="0" fontId="17" fillId="0" borderId="0" xfId="0" applyFont="1" applyAlignment="1" applyProtection="1">
      <alignment wrapText="1"/>
      <protection hidden="1"/>
    </xf>
    <xf numFmtId="0" fontId="17" fillId="0" borderId="7" xfId="0" applyFont="1" applyBorder="1" applyAlignment="1" applyProtection="1">
      <alignment wrapText="1"/>
      <protection hidden="1"/>
    </xf>
    <xf numFmtId="0" fontId="17" fillId="0" borderId="0" xfId="0" applyFont="1" applyAlignment="1" applyProtection="1">
      <alignment horizontal="left" vertical="center"/>
      <protection hidden="1"/>
    </xf>
    <xf numFmtId="0" fontId="17" fillId="0" borderId="0" xfId="0" applyFont="1" applyAlignment="1" applyProtection="1">
      <alignment horizontal="left"/>
      <protection hidden="1"/>
    </xf>
    <xf numFmtId="0" fontId="10" fillId="0" borderId="0" xfId="0" applyFont="1" applyAlignment="1" applyProtection="1">
      <alignment horizontal="center"/>
      <protection hidden="1"/>
    </xf>
    <xf numFmtId="0" fontId="11" fillId="0" borderId="0" xfId="0" applyFont="1" applyAlignment="1" applyProtection="1">
      <alignment horizontal="left"/>
      <protection hidden="1"/>
    </xf>
    <xf numFmtId="0" fontId="5" fillId="0" borderId="0" xfId="0" applyFont="1" applyAlignment="1" applyProtection="1">
      <alignment horizontal="left"/>
      <protection hidden="1"/>
    </xf>
    <xf numFmtId="0" fontId="14" fillId="3" borderId="0" xfId="0" applyFont="1" applyFill="1" applyAlignment="1" applyProtection="1">
      <alignment horizontal="left"/>
      <protection hidden="1"/>
    </xf>
    <xf numFmtId="0" fontId="10" fillId="0" borderId="0" xfId="0" applyFont="1" applyAlignment="1" applyProtection="1">
      <alignment horizontal="center" vertical="top" wrapText="1"/>
      <protection hidden="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top" wrapText="1"/>
    </xf>
    <xf numFmtId="0" fontId="2" fillId="0" borderId="8"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15"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Border="1" applyAlignment="1">
      <alignment horizontal="center" wrapText="1"/>
    </xf>
    <xf numFmtId="0" fontId="2" fillId="0" borderId="0" xfId="0" applyFont="1" applyAlignment="1">
      <alignment horizontal="left"/>
    </xf>
    <xf numFmtId="0" fontId="2" fillId="0" borderId="0" xfId="0" applyFont="1" applyAlignment="1">
      <alignment wrapText="1"/>
    </xf>
    <xf numFmtId="0" fontId="2" fillId="0" borderId="7" xfId="0" applyFont="1" applyBorder="1" applyAlignment="1">
      <alignment wrapText="1"/>
    </xf>
    <xf numFmtId="0" fontId="8" fillId="0" borderId="0" xfId="0" applyFont="1" applyAlignment="1">
      <alignment horizontal="left" vertical="center"/>
    </xf>
    <xf numFmtId="0" fontId="10" fillId="0" borderId="0" xfId="0" applyFont="1" applyAlignment="1">
      <alignment horizontal="center"/>
    </xf>
    <xf numFmtId="0" fontId="11" fillId="0" borderId="0" xfId="0" applyFont="1" applyAlignment="1">
      <alignment horizontal="left"/>
    </xf>
    <xf numFmtId="0" fontId="5" fillId="0" borderId="0" xfId="0" applyFont="1" applyAlignment="1">
      <alignment horizontal="left"/>
    </xf>
    <xf numFmtId="0" fontId="14" fillId="0" borderId="0" xfId="0" applyFont="1" applyAlignment="1">
      <alignment horizontal="left"/>
    </xf>
  </cellXfs>
  <cellStyles count="4">
    <cellStyle name="Обычный" xfId="0" builtinId="0"/>
    <cellStyle name="Обычный 2" xfId="3"/>
    <cellStyle name="Процентный" xfId="1" builtinId="5"/>
    <cellStyle name="Финансовый" xfId="2" builtinId="3"/>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Link="$D$4" fmlaRange="$D$5:$D$5" noThreeD="1" sel="1" val="0"/>
</file>

<file path=xl/ctrlProps/ctrlProp2.xml><?xml version="1.0" encoding="utf-8"?>
<formControlPr xmlns="http://schemas.microsoft.com/office/spreadsheetml/2009/9/main" objectType="Drop" dropLines="3" dropStyle="combo" dx="22" fmlaLink="$B$4:$B$6" fmlaRange="$B$5:$B$6" noThreeD="1" sel="1" val="0"/>
</file>

<file path=xl/ctrlProps/ctrlProp3.xml><?xml version="1.0" encoding="utf-8"?>
<formControlPr xmlns="http://schemas.microsoft.com/office/spreadsheetml/2009/9/main" objectType="Drop" dropStyle="combo" dx="22" fmlaLink="$D$2" fmlaRange="$D$3:$D$3" noThreeD="1" sel="1" val="0"/>
</file>

<file path=xl/ctrlProps/ctrlProp4.xml><?xml version="1.0" encoding="utf-8"?>
<formControlPr xmlns="http://schemas.microsoft.com/office/spreadsheetml/2009/9/main" objectType="Drop" dropLines="3" dropStyle="combo" dx="22" fmlaLink="$B$2:$B$4" fmlaRange="$B$3:$B$4" noThreeD="1" sel="1" val="0"/>
</file>

<file path=xl/ctrlProps/ctrlProp5.xml><?xml version="1.0" encoding="utf-8"?>
<formControlPr xmlns="http://schemas.microsoft.com/office/spreadsheetml/2009/9/main" objectType="Drop" dropLines="2" dropStyle="combo" dx="22" fmlaLink="$F$2" fmlaRange="$F$3:$F$3" noThreeD="1" sel="1" val="0"/>
</file>

<file path=xl/ctrlProps/ctrlProp6.xml><?xml version="1.0" encoding="utf-8"?>
<formControlPr xmlns="http://schemas.microsoft.com/office/spreadsheetml/2009/9/main" objectType="Drop" dropLines="1" dropStyle="combo" dx="22" fmlaLink="$I$2" fmlaRange="$I$3" noThreeD="1" sel="1" val="0"/>
</file>

<file path=xl/ctrlProps/ctrlProp7.xml><?xml version="1.0" encoding="utf-8"?>
<formControlPr xmlns="http://schemas.microsoft.com/office/spreadsheetml/2009/9/main" objectType="Drop" dropLines="2" dropStyle="combo" dx="22" fmlaLink="$I$4" fmlaRange="$F$3:$F$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124239</xdr:colOff>
      <xdr:row>1</xdr:row>
      <xdr:rowOff>257175</xdr:rowOff>
    </xdr:from>
    <xdr:to>
      <xdr:col>4</xdr:col>
      <xdr:colOff>575641</xdr:colOff>
      <xdr:row>2</xdr:row>
      <xdr:rowOff>331304</xdr:rowOff>
    </xdr:to>
    <xdr:pic>
      <xdr:nvPicPr>
        <xdr:cNvPr id="15389"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39" y="257175"/>
          <a:ext cx="2820228" cy="711890"/>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15</xdr:row>
          <xdr:rowOff>9525</xdr:rowOff>
        </xdr:from>
        <xdr:to>
          <xdr:col>6</xdr:col>
          <xdr:colOff>133350</xdr:colOff>
          <xdr:row>17</xdr:row>
          <xdr:rowOff>76200</xdr:rowOff>
        </xdr:to>
        <xdr:sp macro="" textlink="">
          <xdr:nvSpPr>
            <xdr:cNvPr id="15361" name="Drop Down 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13</xdr:row>
          <xdr:rowOff>0</xdr:rowOff>
        </xdr:from>
        <xdr:to>
          <xdr:col>6</xdr:col>
          <xdr:colOff>133350</xdr:colOff>
          <xdr:row>14</xdr:row>
          <xdr:rowOff>66675</xdr:rowOff>
        </xdr:to>
        <xdr:sp macro="" textlink="">
          <xdr:nvSpPr>
            <xdr:cNvPr id="15362" name="Drop Down 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3</xdr:col>
      <xdr:colOff>571500</xdr:colOff>
      <xdr:row>2</xdr:row>
      <xdr:rowOff>161925</xdr:rowOff>
    </xdr:to>
    <xdr:pic>
      <xdr:nvPicPr>
        <xdr:cNvPr id="19476"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2819400" cy="7143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13</xdr:row>
          <xdr:rowOff>9525</xdr:rowOff>
        </xdr:from>
        <xdr:to>
          <xdr:col>5</xdr:col>
          <xdr:colOff>723900</xdr:colOff>
          <xdr:row>15</xdr:row>
          <xdr:rowOff>28575</xdr:rowOff>
        </xdr:to>
        <xdr:sp macro="" textlink="">
          <xdr:nvSpPr>
            <xdr:cNvPr id="19457" name="Drop Dow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11</xdr:row>
          <xdr:rowOff>0</xdr:rowOff>
        </xdr:from>
        <xdr:to>
          <xdr:col>5</xdr:col>
          <xdr:colOff>723900</xdr:colOff>
          <xdr:row>12</xdr:row>
          <xdr:rowOff>66675</xdr:rowOff>
        </xdr:to>
        <xdr:sp macro="" textlink="">
          <xdr:nvSpPr>
            <xdr:cNvPr id="19458" name="Drop Down 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xdr:row>
          <xdr:rowOff>9525</xdr:rowOff>
        </xdr:from>
        <xdr:to>
          <xdr:col>17</xdr:col>
          <xdr:colOff>752475</xdr:colOff>
          <xdr:row>12</xdr:row>
          <xdr:rowOff>47625</xdr:rowOff>
        </xdr:to>
        <xdr:sp macro="" textlink="">
          <xdr:nvSpPr>
            <xdr:cNvPr id="19459" name="Drop Down 3" hidden="1">
              <a:extLst>
                <a:ext uri="{63B3BB69-23CF-44E3-9099-C40C66FF867C}">
                  <a14:compatExt spid="_x0000_s19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66675</xdr:rowOff>
        </xdr:from>
        <xdr:to>
          <xdr:col>20</xdr:col>
          <xdr:colOff>47625</xdr:colOff>
          <xdr:row>13</xdr:row>
          <xdr:rowOff>104775</xdr:rowOff>
        </xdr:to>
        <xdr:sp macro="" textlink="">
          <xdr:nvSpPr>
            <xdr:cNvPr id="19460" name="Drop Down 4" hidden="1">
              <a:extLst>
                <a:ext uri="{63B3BB69-23CF-44E3-9099-C40C66FF867C}">
                  <a14:compatExt spid="_x0000_s19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14</xdr:row>
          <xdr:rowOff>38100</xdr:rowOff>
        </xdr:from>
        <xdr:to>
          <xdr:col>17</xdr:col>
          <xdr:colOff>752475</xdr:colOff>
          <xdr:row>16</xdr:row>
          <xdr:rowOff>19050</xdr:rowOff>
        </xdr:to>
        <xdr:sp macro="" textlink="">
          <xdr:nvSpPr>
            <xdr:cNvPr id="19461" name="Drop Down 5" hidden="1">
              <a:extLst>
                <a:ext uri="{63B3BB69-23CF-44E3-9099-C40C66FF867C}">
                  <a14:compatExt spid="_x0000_s19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AA70"/>
  <sheetViews>
    <sheetView showGridLines="0" tabSelected="1" topLeftCell="A51" zoomScale="115" zoomScaleNormal="115" zoomScaleSheetLayoutView="97" workbookViewId="0">
      <selection activeCell="B27" sqref="B27:N27"/>
    </sheetView>
  </sheetViews>
  <sheetFormatPr defaultRowHeight="11.25" x14ac:dyDescent="0.2"/>
  <cols>
    <col min="1" max="1" width="3.42578125" style="92" customWidth="1"/>
    <col min="2" max="2" width="11" style="92" customWidth="1"/>
    <col min="3" max="3" width="7.7109375" style="92" customWidth="1"/>
    <col min="4" max="4" width="13.28515625" style="92" customWidth="1"/>
    <col min="5" max="5" width="10.140625" style="92" customWidth="1"/>
    <col min="6" max="6" width="11.85546875" style="98" customWidth="1"/>
    <col min="7" max="7" width="12" style="98" customWidth="1"/>
    <col min="8" max="8" width="9.28515625" style="98" customWidth="1"/>
    <col min="9" max="9" width="12" style="98" customWidth="1"/>
    <col min="10" max="10" width="16.85546875" style="92" customWidth="1"/>
    <col min="11" max="11" width="8.28515625" style="92" customWidth="1"/>
    <col min="12" max="12" width="11.140625" style="92" customWidth="1"/>
    <col min="13" max="13" width="7.85546875" style="92" customWidth="1"/>
    <col min="14" max="14" width="8.28515625" style="92" customWidth="1"/>
    <col min="15" max="15" width="10.5703125" style="92" customWidth="1"/>
    <col min="16" max="16" width="8.28515625" style="92" customWidth="1"/>
    <col min="17" max="17" width="10.140625" style="92" customWidth="1"/>
    <col min="18" max="18" width="11.85546875" style="92" customWidth="1"/>
    <col min="19" max="19" width="11.85546875" style="92" hidden="1" customWidth="1"/>
    <col min="20" max="20" width="1.85546875" style="92" bestFit="1" customWidth="1"/>
    <col min="21" max="21" width="9.140625" style="92"/>
    <col min="22" max="23" width="9.140625" style="92" hidden="1" customWidth="1"/>
    <col min="24" max="16384" width="9.140625" style="92"/>
  </cols>
  <sheetData>
    <row r="1" spans="2:24" ht="39" hidden="1" customHeight="1" x14ac:dyDescent="0.2">
      <c r="B1" s="220"/>
      <c r="C1" s="220"/>
      <c r="D1" s="220"/>
      <c r="E1" s="220"/>
      <c r="F1" s="220"/>
      <c r="G1" s="220"/>
      <c r="H1" s="220"/>
      <c r="I1" s="220"/>
      <c r="J1" s="220"/>
      <c r="K1" s="220"/>
      <c r="L1" s="220"/>
      <c r="M1" s="220"/>
      <c r="N1" s="220"/>
      <c r="O1" s="220"/>
      <c r="P1" s="220"/>
      <c r="Q1" s="91"/>
    </row>
    <row r="2" spans="2:24" ht="50.25" customHeight="1" x14ac:dyDescent="0.2">
      <c r="B2" s="183"/>
      <c r="C2" s="183"/>
      <c r="D2" s="183"/>
      <c r="E2" s="183"/>
      <c r="F2" s="224" t="s">
        <v>73</v>
      </c>
      <c r="G2" s="224"/>
      <c r="H2" s="224"/>
      <c r="I2" s="224"/>
      <c r="J2" s="224"/>
      <c r="K2" s="224"/>
      <c r="L2" s="224"/>
      <c r="M2" s="224"/>
      <c r="N2" s="224"/>
      <c r="O2" s="183"/>
      <c r="P2" s="183"/>
      <c r="Q2" s="91"/>
    </row>
    <row r="3" spans="2:24" ht="39" customHeight="1" x14ac:dyDescent="0.2">
      <c r="B3" s="183"/>
      <c r="C3" s="183"/>
      <c r="D3" s="183"/>
      <c r="E3" s="183"/>
      <c r="F3" s="183"/>
      <c r="G3" s="183"/>
      <c r="H3" s="183"/>
      <c r="I3" s="183"/>
      <c r="J3" s="183"/>
      <c r="K3" s="183"/>
      <c r="L3" s="183"/>
      <c r="M3" s="183"/>
      <c r="N3" s="183"/>
      <c r="O3" s="183"/>
      <c r="P3" s="183"/>
      <c r="Q3" s="91"/>
    </row>
    <row r="4" spans="2:24" ht="16.5" hidden="1" customHeight="1" x14ac:dyDescent="0.25">
      <c r="B4" s="93">
        <v>1</v>
      </c>
      <c r="C4" s="93"/>
      <c r="D4" s="93">
        <v>1</v>
      </c>
      <c r="E4" s="93">
        <v>2</v>
      </c>
      <c r="F4" s="94">
        <v>1</v>
      </c>
      <c r="G4" s="94"/>
      <c r="H4" s="94"/>
      <c r="I4" s="94">
        <v>1</v>
      </c>
      <c r="J4" s="93">
        <v>1</v>
      </c>
      <c r="K4" s="93"/>
      <c r="L4" s="93"/>
      <c r="O4" s="95"/>
      <c r="P4" s="95"/>
      <c r="R4" s="95"/>
    </row>
    <row r="5" spans="2:24" ht="22.5" hidden="1" customHeight="1" x14ac:dyDescent="0.25">
      <c r="B5" s="93" t="str">
        <f>"Домовичок"</f>
        <v>Домовичок</v>
      </c>
      <c r="C5" s="93"/>
      <c r="D5" s="93" t="str">
        <f>"гривня"</f>
        <v>гривня</v>
      </c>
      <c r="E5" s="93" t="str">
        <f>"Торговий POS-термінал"</f>
        <v>Торговий POS-термінал</v>
      </c>
      <c r="F5" s="94" t="s">
        <v>4</v>
      </c>
      <c r="G5" s="94"/>
      <c r="H5" s="94"/>
      <c r="I5" s="96" t="str">
        <f>"ДОМОВИЧОК"</f>
        <v>ДОМОВИЧОК</v>
      </c>
      <c r="J5" s="93" t="str">
        <f>"в кінці строку"</f>
        <v>в кінці строку</v>
      </c>
      <c r="K5" s="93"/>
      <c r="L5" s="93"/>
      <c r="R5" s="95"/>
    </row>
    <row r="6" spans="2:24" ht="10.5" hidden="1" customHeight="1" x14ac:dyDescent="0.25">
      <c r="B6" s="93"/>
      <c r="C6" s="93"/>
      <c r="D6" s="93"/>
      <c r="E6" s="93" t="str">
        <f>"Банкомат АБ «Укргазбанк»"</f>
        <v>Банкомат АБ «Укргазбанк»</v>
      </c>
      <c r="F6" s="94" t="s">
        <v>11</v>
      </c>
      <c r="G6" s="94"/>
      <c r="H6" s="94"/>
      <c r="I6" s="96">
        <v>1</v>
      </c>
      <c r="J6" s="93" t="str">
        <f>"зменшення ліміту"</f>
        <v>зменшення ліміту</v>
      </c>
      <c r="K6" s="93"/>
      <c r="L6" s="93"/>
      <c r="O6" s="97"/>
      <c r="P6" s="95"/>
    </row>
    <row r="7" spans="2:24" ht="6" hidden="1" customHeight="1" x14ac:dyDescent="0.2">
      <c r="B7" s="93"/>
      <c r="C7" s="93"/>
      <c r="D7" s="93"/>
      <c r="E7" s="93"/>
      <c r="F7" s="94"/>
      <c r="G7" s="94"/>
      <c r="H7" s="94"/>
      <c r="I7" s="96"/>
      <c r="J7" s="93" t="str">
        <f>"щомісячна очікувана сума"</f>
        <v>щомісячна очікувана сума</v>
      </c>
      <c r="K7" s="93"/>
      <c r="L7" s="93"/>
      <c r="O7" s="221"/>
      <c r="P7" s="221"/>
      <c r="Q7" s="221"/>
      <c r="R7" s="221"/>
    </row>
    <row r="8" spans="2:24" ht="6" hidden="1" customHeight="1" x14ac:dyDescent="0.2">
      <c r="B8" s="93"/>
      <c r="C8" s="93"/>
      <c r="D8" s="93"/>
      <c r="E8" s="93"/>
      <c r="F8" s="94"/>
      <c r="G8" s="94"/>
      <c r="H8" s="94"/>
      <c r="I8" s="94"/>
      <c r="J8" s="93"/>
      <c r="K8" s="93"/>
      <c r="L8" s="93"/>
      <c r="O8" s="221"/>
      <c r="P8" s="221"/>
      <c r="Q8" s="221"/>
      <c r="R8" s="221"/>
    </row>
    <row r="9" spans="2:24" ht="6" hidden="1" customHeight="1" x14ac:dyDescent="0.25">
      <c r="O9" s="222"/>
      <c r="P9" s="222"/>
      <c r="Q9" s="99"/>
    </row>
    <row r="10" spans="2:24" ht="6" hidden="1" customHeight="1" x14ac:dyDescent="0.25">
      <c r="O10" s="222"/>
      <c r="P10" s="222"/>
      <c r="Q10" s="99"/>
    </row>
    <row r="11" spans="2:24" ht="6" hidden="1" customHeight="1" x14ac:dyDescent="0.25">
      <c r="O11" s="222"/>
      <c r="P11" s="222"/>
      <c r="Q11" s="99"/>
      <c r="R11" s="93"/>
      <c r="S11" s="93"/>
      <c r="T11" s="93"/>
      <c r="U11" s="93"/>
      <c r="V11" s="93"/>
      <c r="W11" s="93"/>
      <c r="X11" s="93"/>
    </row>
    <row r="12" spans="2:24" x14ac:dyDescent="0.2">
      <c r="B12" s="100" t="str">
        <f>"Параметри кредитної програми"</f>
        <v>Параметри кредитної програми</v>
      </c>
      <c r="C12" s="100"/>
      <c r="K12" s="101"/>
      <c r="L12" s="101"/>
      <c r="M12" s="101"/>
      <c r="N12" s="101"/>
      <c r="R12" s="93" t="str">
        <f ca="1">"Курс НБУ на " &amp; TEXT(NOW(),"ДД.ММ.ГГГГ") &amp; " р."</f>
        <v>Курс НБУ на ДД.ММ.ГГГГ р.</v>
      </c>
      <c r="S12" s="93"/>
      <c r="T12" s="93"/>
      <c r="U12" s="93"/>
      <c r="V12" s="93"/>
      <c r="W12" s="93"/>
      <c r="X12" s="93"/>
    </row>
    <row r="13" spans="2:24" ht="3.75" customHeight="1" x14ac:dyDescent="0.2">
      <c r="K13" s="101"/>
      <c r="L13" s="101"/>
      <c r="M13" s="101"/>
      <c r="N13" s="101"/>
      <c r="R13" s="93"/>
      <c r="S13" s="93"/>
      <c r="T13" s="93"/>
      <c r="U13" s="93"/>
      <c r="V13" s="93"/>
      <c r="W13" s="93"/>
      <c r="X13" s="93"/>
    </row>
    <row r="14" spans="2:24" ht="12.75" customHeight="1" x14ac:dyDescent="0.2">
      <c r="B14" s="92" t="str">
        <f>"Програма кредитування:"</f>
        <v>Програма кредитування:</v>
      </c>
      <c r="J14" s="223" t="str">
        <f>"Початкова сума ліміту овердрафту"</f>
        <v>Початкова сума ліміту овердрафту</v>
      </c>
      <c r="K14" s="223"/>
      <c r="L14" s="223"/>
      <c r="N14" s="102"/>
      <c r="O14" s="90">
        <v>10000</v>
      </c>
      <c r="P14" s="103" t="s">
        <v>61</v>
      </c>
      <c r="Q14" s="104"/>
      <c r="R14" s="105"/>
      <c r="S14" s="104"/>
      <c r="T14" s="104"/>
      <c r="U14" s="106"/>
      <c r="V14" s="104"/>
      <c r="W14" s="104"/>
      <c r="X14" s="104"/>
    </row>
    <row r="15" spans="2:24" ht="12.75" customHeight="1" x14ac:dyDescent="0.2">
      <c r="J15" s="215" t="str">
        <f>"Максимальний за продуктом ліміт овердрафту"</f>
        <v>Максимальний за продуктом ліміт овердрафту</v>
      </c>
      <c r="K15" s="215"/>
      <c r="L15" s="215"/>
      <c r="N15" s="107"/>
      <c r="O15" s="56">
        <v>300000</v>
      </c>
      <c r="P15" s="104"/>
      <c r="Q15" s="104"/>
      <c r="R15" s="108"/>
      <c r="S15" s="104"/>
      <c r="T15" s="104"/>
      <c r="U15" s="106">
        <v>0.36</v>
      </c>
      <c r="V15" s="104"/>
      <c r="W15" s="104"/>
      <c r="X15" s="104"/>
    </row>
    <row r="16" spans="2:24" ht="12.75" customHeight="1" x14ac:dyDescent="0.2">
      <c r="B16" s="92" t="str">
        <f>"Валюта овердрафту:"</f>
        <v>Валюта овердрафту:</v>
      </c>
      <c r="J16" s="215" t="str">
        <f>"Дата кредитного договору:"</f>
        <v>Дата кредитного договору:</v>
      </c>
      <c r="K16" s="215"/>
      <c r="L16" s="215"/>
      <c r="N16" s="107"/>
      <c r="O16" s="38">
        <f ca="1">TODAY()</f>
        <v>44438</v>
      </c>
      <c r="P16" s="104"/>
      <c r="Q16" s="104"/>
      <c r="R16" s="105"/>
      <c r="S16" s="104"/>
      <c r="T16" s="104"/>
      <c r="U16" s="109">
        <v>300000</v>
      </c>
      <c r="V16" s="104"/>
      <c r="W16" s="104"/>
      <c r="X16" s="104"/>
    </row>
    <row r="17" spans="1:27" ht="11.25" hidden="1" customHeight="1" x14ac:dyDescent="0.2">
      <c r="J17" s="98"/>
      <c r="K17" s="107"/>
      <c r="L17" s="107"/>
      <c r="M17" s="107"/>
      <c r="N17" s="107"/>
      <c r="O17" s="110"/>
      <c r="P17" s="104"/>
      <c r="Q17" s="104"/>
      <c r="R17" s="108"/>
      <c r="S17" s="104"/>
      <c r="T17" s="104"/>
      <c r="U17" s="104"/>
      <c r="V17" s="104"/>
      <c r="W17" s="104"/>
      <c r="X17" s="104"/>
    </row>
    <row r="18" spans="1:27" ht="12.75" customHeight="1" x14ac:dyDescent="0.2">
      <c r="B18" s="111"/>
      <c r="C18" s="111"/>
      <c r="D18" s="111"/>
      <c r="E18" s="111"/>
      <c r="F18" s="112"/>
      <c r="G18" s="112"/>
      <c r="H18" s="112"/>
      <c r="J18" s="215" t="str">
        <f>"Дата завершення овердрафту:"</f>
        <v>Дата завершення овердрафту:</v>
      </c>
      <c r="K18" s="215"/>
      <c r="L18" s="215"/>
      <c r="N18" s="107"/>
      <c r="O18" s="38">
        <f ca="1">IF(DAY($O$16)&gt;25,DATE(YEAR($O$16)+1,MONTH($O$16),DAY(25)),IF(DAY($O$16)=1,DATE(YEAR($O$16)+1,MONTH($O$16-1),DAY(25)),DATE(YEAR($O$16)+1,MONTH($O$16),DAY($O$16)-1)))</f>
        <v>44798</v>
      </c>
      <c r="P18" s="104"/>
      <c r="Q18" s="104"/>
      <c r="R18" s="108"/>
      <c r="S18" s="104"/>
      <c r="T18" s="104"/>
      <c r="U18" s="104"/>
      <c r="V18" s="104"/>
      <c r="W18" s="104"/>
      <c r="X18" s="104"/>
    </row>
    <row r="19" spans="1:27" ht="3.75" hidden="1" customHeight="1" x14ac:dyDescent="0.2">
      <c r="J19" s="98"/>
      <c r="K19" s="107"/>
      <c r="L19" s="107"/>
      <c r="M19" s="107"/>
      <c r="N19" s="107"/>
      <c r="O19" s="110"/>
      <c r="P19" s="104"/>
      <c r="Q19" s="104"/>
      <c r="R19" s="108"/>
      <c r="S19" s="104"/>
      <c r="T19" s="104"/>
      <c r="U19" s="104"/>
      <c r="V19" s="104"/>
      <c r="W19" s="104"/>
      <c r="X19" s="104"/>
    </row>
    <row r="20" spans="1:27" ht="21.75" customHeight="1" x14ac:dyDescent="0.2">
      <c r="A20" s="113"/>
      <c r="B20" s="216" t="s">
        <v>8</v>
      </c>
      <c r="C20" s="216"/>
      <c r="D20" s="216"/>
      <c r="E20" s="217"/>
      <c r="F20" s="114">
        <v>0</v>
      </c>
      <c r="G20" s="115">
        <v>0</v>
      </c>
      <c r="H20" s="116"/>
      <c r="I20" s="117"/>
      <c r="J20" s="218" t="s">
        <v>7</v>
      </c>
      <c r="K20" s="218"/>
      <c r="L20" s="218"/>
      <c r="M20" s="113"/>
      <c r="N20" s="118"/>
      <c r="O20" s="119">
        <v>12</v>
      </c>
      <c r="P20" s="120">
        <v>12</v>
      </c>
      <c r="Q20" s="120">
        <v>25</v>
      </c>
      <c r="R20" s="121"/>
      <c r="S20" s="122"/>
      <c r="T20" s="122"/>
      <c r="U20" s="104"/>
      <c r="V20" s="104"/>
      <c r="W20" s="104"/>
      <c r="X20" s="104"/>
    </row>
    <row r="21" spans="1:27" ht="12.75" customHeight="1" x14ac:dyDescent="0.2">
      <c r="A21" s="113"/>
      <c r="B21" s="113" t="str">
        <f>"Процента ставка за кредитом"</f>
        <v>Процента ставка за кредитом</v>
      </c>
      <c r="C21" s="113"/>
      <c r="D21" s="113"/>
      <c r="E21" s="113"/>
      <c r="F21" s="123">
        <v>0.36</v>
      </c>
      <c r="G21" s="124">
        <v>0.36</v>
      </c>
      <c r="H21" s="125"/>
      <c r="I21" s="117"/>
      <c r="J21" s="219" t="str">
        <f>IF(OR($B$4=1,$B$4=2,$B$4=3,$B$4=4, $B$4=7),"Щомісячні платежі очікуються",IF(OR($B$4=5,$B$4=6),"Сплата процентів очікується"))</f>
        <v>Щомісячні платежі очікуються</v>
      </c>
      <c r="K21" s="219"/>
      <c r="L21" s="219"/>
      <c r="M21" s="113"/>
      <c r="N21" s="126"/>
      <c r="O21" s="127">
        <v>25</v>
      </c>
      <c r="P21" s="128" t="s">
        <v>62</v>
      </c>
      <c r="Q21" s="122"/>
      <c r="R21" s="129"/>
      <c r="S21" s="122"/>
      <c r="T21" s="122"/>
      <c r="U21" s="104"/>
      <c r="V21" s="104"/>
      <c r="W21" s="104"/>
      <c r="X21" s="104"/>
    </row>
    <row r="22" spans="1:27" ht="11.25" customHeight="1" x14ac:dyDescent="0.2">
      <c r="A22" s="113"/>
      <c r="B22" s="113" t="s">
        <v>13</v>
      </c>
      <c r="C22" s="113"/>
      <c r="D22" s="113"/>
      <c r="E22" s="113"/>
      <c r="F22" s="130">
        <v>9.9999999999999995E-7</v>
      </c>
      <c r="G22" s="131">
        <v>9.9999999999999995E-7</v>
      </c>
      <c r="H22" s="132"/>
      <c r="I22" s="117"/>
      <c r="J22" s="113"/>
      <c r="K22" s="133"/>
      <c r="L22" s="133"/>
      <c r="M22" s="133"/>
      <c r="N22" s="133"/>
      <c r="O22" s="113"/>
      <c r="P22" s="122"/>
      <c r="Q22" s="122"/>
      <c r="R22" s="121"/>
      <c r="S22" s="122"/>
      <c r="T22" s="122"/>
      <c r="U22" s="104"/>
      <c r="V22" s="104"/>
      <c r="W22" s="104"/>
      <c r="X22" s="104"/>
    </row>
    <row r="23" spans="1:27" ht="12" customHeight="1" x14ac:dyDescent="0.2">
      <c r="A23" s="113"/>
      <c r="B23" s="113" t="str">
        <f>"Метод розрахунку процентів"</f>
        <v>Метод розрахунку процентів</v>
      </c>
      <c r="C23" s="113"/>
      <c r="D23" s="113"/>
      <c r="E23" s="113"/>
      <c r="F23" s="134" t="str">
        <f>"факт/факт"</f>
        <v>факт/факт</v>
      </c>
      <c r="G23" s="135"/>
      <c r="H23" s="135"/>
      <c r="I23" s="117"/>
      <c r="J23" s="136"/>
      <c r="K23" s="136"/>
      <c r="L23" s="136"/>
      <c r="M23" s="136"/>
      <c r="N23" s="136"/>
      <c r="O23" s="177"/>
      <c r="P23" s="178"/>
      <c r="Q23" s="121"/>
      <c r="R23" s="129"/>
      <c r="S23" s="122"/>
      <c r="T23" s="122"/>
      <c r="U23" s="104"/>
      <c r="V23" s="104"/>
      <c r="W23" s="104"/>
      <c r="X23" s="104"/>
    </row>
    <row r="24" spans="1:27" ht="12" customHeight="1" x14ac:dyDescent="0.2">
      <c r="A24" s="113"/>
      <c r="B24" s="113"/>
      <c r="C24" s="113"/>
      <c r="D24" s="113"/>
      <c r="E24" s="113"/>
      <c r="F24" s="135"/>
      <c r="G24" s="135"/>
      <c r="H24" s="135"/>
      <c r="I24" s="117"/>
      <c r="J24" s="136"/>
      <c r="K24" s="136"/>
      <c r="L24" s="136"/>
      <c r="M24" s="136"/>
      <c r="N24" s="136"/>
      <c r="O24" s="177"/>
      <c r="P24" s="178"/>
      <c r="Q24" s="121"/>
      <c r="R24" s="129"/>
      <c r="S24" s="122"/>
      <c r="T24" s="122"/>
      <c r="U24" s="104"/>
      <c r="V24" s="104"/>
      <c r="W24" s="104"/>
      <c r="X24" s="104"/>
    </row>
    <row r="25" spans="1:27" ht="17.25" customHeight="1" x14ac:dyDescent="0.2">
      <c r="A25" s="113"/>
      <c r="B25" s="11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C25" s="113"/>
      <c r="D25" s="113"/>
      <c r="E25" s="113"/>
      <c r="F25" s="117"/>
      <c r="G25" s="117"/>
      <c r="H25" s="117"/>
      <c r="I25" s="117"/>
      <c r="J25" s="136"/>
      <c r="K25" s="133"/>
      <c r="L25" s="133"/>
      <c r="M25" s="133"/>
      <c r="N25" s="133"/>
      <c r="O25" s="177"/>
      <c r="P25" s="178"/>
      <c r="Q25" s="121"/>
      <c r="R25" s="122"/>
      <c r="S25" s="122"/>
      <c r="T25" s="122"/>
      <c r="U25" s="104"/>
      <c r="V25" s="104"/>
      <c r="W25" s="104"/>
      <c r="X25" s="104"/>
    </row>
    <row r="26" spans="1:27" ht="15.75" customHeight="1" x14ac:dyDescent="0.25">
      <c r="A26" s="113"/>
      <c r="B26" s="213" t="str">
        <f>IF(F21=25%,"","Комісія за видачу готівкових кредитних коштів в установах та банкоматах АБ  УКРГАЗБАНК від суми видачі готівки, якщо сума перевищує 1001 грн.")</f>
        <v>Комісія за видачу готівкових кредитних коштів в установах та банкоматах АБ  УКРГАЗБАНК від суми видачі готівки, якщо сума перевищує 1001 грн.</v>
      </c>
      <c r="C26" s="213"/>
      <c r="D26" s="213"/>
      <c r="E26" s="213"/>
      <c r="F26" s="213"/>
      <c r="G26" s="213"/>
      <c r="H26" s="213"/>
      <c r="I26" s="213"/>
      <c r="J26" s="213"/>
      <c r="K26" s="213"/>
      <c r="L26" s="213"/>
      <c r="M26" s="213"/>
      <c r="N26" s="213"/>
      <c r="O26" s="186">
        <v>0.04</v>
      </c>
      <c r="P26" s="184"/>
      <c r="Q26" s="184"/>
      <c r="R26" s="184"/>
      <c r="S26" s="113"/>
      <c r="T26" s="113"/>
      <c r="V26" s="101"/>
      <c r="W26" s="101"/>
      <c r="X26" s="137"/>
      <c r="Y26" s="101"/>
      <c r="Z26" s="101"/>
      <c r="AA26" s="101"/>
    </row>
    <row r="27" spans="1:27" ht="15.75" customHeight="1" x14ac:dyDescent="0.25">
      <c r="A27" s="113"/>
      <c r="B27" s="213" t="s">
        <v>15</v>
      </c>
      <c r="C27" s="213"/>
      <c r="D27" s="213"/>
      <c r="E27" s="213"/>
      <c r="F27" s="213"/>
      <c r="G27" s="213"/>
      <c r="H27" s="213"/>
      <c r="I27" s="213"/>
      <c r="J27" s="213"/>
      <c r="K27" s="213"/>
      <c r="L27" s="213"/>
      <c r="M27" s="213"/>
      <c r="N27" s="213"/>
      <c r="O27" s="187">
        <v>7.0000000000000001E-3</v>
      </c>
      <c r="P27" s="184"/>
      <c r="Q27" s="184"/>
      <c r="R27" s="184"/>
      <c r="S27" s="113"/>
      <c r="T27" s="113"/>
      <c r="V27" s="101"/>
      <c r="W27" s="101"/>
      <c r="X27" s="137"/>
      <c r="Y27" s="101"/>
      <c r="Z27" s="101"/>
      <c r="AA27" s="101"/>
    </row>
    <row r="28" spans="1:27" ht="9.75" customHeight="1" x14ac:dyDescent="0.2">
      <c r="A28" s="113"/>
      <c r="B28" s="185" t="s">
        <v>9</v>
      </c>
      <c r="C28" s="113"/>
      <c r="D28" s="113"/>
      <c r="E28" s="113"/>
      <c r="F28" s="138"/>
      <c r="G28" s="138"/>
      <c r="H28" s="138"/>
      <c r="I28" s="138"/>
      <c r="J28" s="113"/>
      <c r="K28" s="113"/>
      <c r="L28" s="113"/>
      <c r="M28" s="113"/>
      <c r="N28" s="113"/>
      <c r="O28" s="113"/>
      <c r="P28" s="113"/>
      <c r="Q28" s="113"/>
      <c r="R28" s="139"/>
      <c r="S28" s="113"/>
      <c r="T28" s="113"/>
      <c r="V28" s="101"/>
      <c r="W28" s="101"/>
      <c r="X28" s="101"/>
      <c r="Y28" s="101"/>
      <c r="Z28" s="101"/>
      <c r="AA28" s="101"/>
    </row>
    <row r="29" spans="1:27" x14ac:dyDescent="0.2">
      <c r="A29" s="113"/>
      <c r="B29" s="113" t="s">
        <v>12</v>
      </c>
      <c r="C29" s="113"/>
      <c r="D29" s="113"/>
      <c r="E29" s="113"/>
      <c r="F29" s="138"/>
      <c r="G29" s="138"/>
      <c r="H29" s="138"/>
      <c r="I29" s="138"/>
      <c r="J29" s="113"/>
      <c r="K29" s="113"/>
      <c r="L29" s="113"/>
      <c r="M29" s="113"/>
      <c r="N29" s="113"/>
      <c r="O29" s="113"/>
      <c r="P29" s="113"/>
      <c r="Q29" s="113"/>
      <c r="R29" s="113"/>
      <c r="S29" s="113"/>
      <c r="T29" s="113"/>
    </row>
    <row r="30" spans="1:27" ht="21.75" customHeight="1" x14ac:dyDescent="0.2">
      <c r="A30" s="113"/>
      <c r="B30" s="212" t="s">
        <v>72</v>
      </c>
      <c r="C30" s="212"/>
      <c r="D30" s="212"/>
      <c r="E30" s="212"/>
      <c r="F30" s="212"/>
      <c r="G30" s="212"/>
      <c r="H30" s="212"/>
      <c r="I30" s="212"/>
      <c r="J30" s="212"/>
      <c r="K30" s="212"/>
      <c r="L30" s="212"/>
      <c r="M30" s="212"/>
      <c r="N30" s="212"/>
      <c r="O30" s="212"/>
      <c r="P30" s="212"/>
      <c r="Q30" s="212"/>
      <c r="R30" s="212"/>
      <c r="S30" s="113"/>
      <c r="T30" s="113"/>
    </row>
    <row r="31" spans="1:27" ht="11.25" hidden="1" customHeight="1" x14ac:dyDescent="0.2">
      <c r="A31" s="113"/>
      <c r="F31" s="92"/>
      <c r="G31" s="92"/>
      <c r="H31" s="92"/>
      <c r="I31" s="92"/>
      <c r="P31" s="141"/>
      <c r="Q31" s="140"/>
      <c r="R31" s="113"/>
      <c r="S31" s="113"/>
      <c r="T31" s="113"/>
    </row>
    <row r="32" spans="1:27" ht="24" hidden="1" customHeight="1" x14ac:dyDescent="0.2">
      <c r="A32" s="113"/>
      <c r="F32" s="92"/>
      <c r="G32" s="92"/>
      <c r="H32" s="92"/>
      <c r="I32" s="92"/>
      <c r="P32" s="141"/>
      <c r="Q32" s="142"/>
      <c r="R32" s="113"/>
      <c r="S32" s="113"/>
      <c r="T32" s="113"/>
    </row>
    <row r="33" spans="1:21" ht="17.25" customHeight="1" x14ac:dyDescent="0.2">
      <c r="A33" s="214" t="s">
        <v>55</v>
      </c>
      <c r="B33" s="214"/>
      <c r="C33" s="214"/>
      <c r="D33" s="214"/>
      <c r="E33" s="214"/>
      <c r="F33" s="214"/>
      <c r="G33" s="214"/>
      <c r="H33" s="214"/>
      <c r="I33" s="214"/>
      <c r="J33" s="214"/>
      <c r="K33" s="214"/>
      <c r="L33" s="214"/>
      <c r="M33" s="214"/>
      <c r="N33" s="214"/>
      <c r="O33" s="214"/>
      <c r="P33" s="214"/>
      <c r="Q33" s="214"/>
      <c r="R33" s="214"/>
      <c r="S33" s="113"/>
      <c r="T33" s="113"/>
    </row>
    <row r="34" spans="1:21" ht="13.5" customHeight="1" x14ac:dyDescent="0.2">
      <c r="A34" s="203" t="s">
        <v>27</v>
      </c>
      <c r="B34" s="203" t="s">
        <v>33</v>
      </c>
      <c r="C34" s="203" t="s">
        <v>32</v>
      </c>
      <c r="D34" s="200" t="str">
        <f>"Чиста сума кредиту/cума платежу за розрахунковий період, " &amp; IF($D$4=3,"євро",IF($D$4=2, "доларів США","грн."))</f>
        <v>Чиста сума кредиту/cума платежу за розрахунковий період, грн.</v>
      </c>
      <c r="E34" s="210" t="s">
        <v>37</v>
      </c>
      <c r="F34" s="211"/>
      <c r="G34" s="211"/>
      <c r="H34" s="211"/>
      <c r="I34" s="211"/>
      <c r="J34" s="211"/>
      <c r="K34" s="211"/>
      <c r="L34" s="211"/>
      <c r="M34" s="211"/>
      <c r="N34" s="211"/>
      <c r="O34" s="211"/>
      <c r="P34" s="211"/>
      <c r="Q34" s="197" t="s">
        <v>52</v>
      </c>
      <c r="R34" s="200" t="s">
        <v>53</v>
      </c>
      <c r="S34" s="143" t="s">
        <v>2</v>
      </c>
      <c r="T34" s="143"/>
    </row>
    <row r="35" spans="1:21" ht="14.25" customHeight="1" x14ac:dyDescent="0.2">
      <c r="A35" s="204"/>
      <c r="B35" s="204"/>
      <c r="C35" s="204"/>
      <c r="D35" s="201"/>
      <c r="E35" s="203" t="s">
        <v>34</v>
      </c>
      <c r="F35" s="200" t="s">
        <v>36</v>
      </c>
      <c r="G35" s="206" t="s">
        <v>63</v>
      </c>
      <c r="H35" s="207"/>
      <c r="I35" s="207"/>
      <c r="J35" s="207"/>
      <c r="K35" s="207"/>
      <c r="L35" s="207"/>
      <c r="M35" s="207"/>
      <c r="N35" s="207"/>
      <c r="O35" s="207"/>
      <c r="P35" s="207"/>
      <c r="Q35" s="198"/>
      <c r="R35" s="201"/>
      <c r="S35" s="133"/>
      <c r="T35" s="113"/>
    </row>
    <row r="36" spans="1:21" ht="21" customHeight="1" x14ac:dyDescent="0.2">
      <c r="A36" s="204"/>
      <c r="B36" s="204"/>
      <c r="C36" s="204"/>
      <c r="D36" s="201"/>
      <c r="E36" s="204"/>
      <c r="F36" s="201"/>
      <c r="G36" s="208" t="s">
        <v>17</v>
      </c>
      <c r="H36" s="209"/>
      <c r="I36" s="209"/>
      <c r="J36" s="209"/>
      <c r="K36" s="210" t="s">
        <v>19</v>
      </c>
      <c r="L36" s="211"/>
      <c r="M36" s="208" t="s">
        <v>22</v>
      </c>
      <c r="N36" s="209"/>
      <c r="O36" s="209"/>
      <c r="P36" s="209"/>
      <c r="Q36" s="198"/>
      <c r="R36" s="201"/>
      <c r="S36" s="133"/>
      <c r="T36" s="113"/>
    </row>
    <row r="37" spans="1:21" ht="56.25" customHeight="1" x14ac:dyDescent="0.2">
      <c r="A37" s="205"/>
      <c r="B37" s="205"/>
      <c r="C37" s="205"/>
      <c r="D37" s="202"/>
      <c r="E37" s="205"/>
      <c r="F37" s="202"/>
      <c r="G37" s="144" t="s">
        <v>18</v>
      </c>
      <c r="H37" s="145" t="s">
        <v>59</v>
      </c>
      <c r="I37" s="144" t="s">
        <v>60</v>
      </c>
      <c r="J37" s="146" t="s">
        <v>41</v>
      </c>
      <c r="K37" s="147" t="s">
        <v>20</v>
      </c>
      <c r="L37" s="147" t="s">
        <v>21</v>
      </c>
      <c r="M37" s="148" t="s">
        <v>23</v>
      </c>
      <c r="N37" s="148" t="s">
        <v>24</v>
      </c>
      <c r="O37" s="148" t="s">
        <v>25</v>
      </c>
      <c r="P37" s="149" t="s">
        <v>48</v>
      </c>
      <c r="Q37" s="199"/>
      <c r="R37" s="202"/>
      <c r="S37" s="133"/>
      <c r="T37" s="113"/>
    </row>
    <row r="38" spans="1:21" ht="11.25" customHeight="1" x14ac:dyDescent="0.2">
      <c r="A38" s="191">
        <v>1</v>
      </c>
      <c r="B38" s="191" t="s">
        <v>28</v>
      </c>
      <c r="C38" s="195" t="s">
        <v>29</v>
      </c>
      <c r="D38" s="191" t="s">
        <v>30</v>
      </c>
      <c r="E38" s="195" t="s">
        <v>31</v>
      </c>
      <c r="F38" s="191" t="s">
        <v>35</v>
      </c>
      <c r="G38" s="193" t="s">
        <v>26</v>
      </c>
      <c r="H38" s="193" t="s">
        <v>38</v>
      </c>
      <c r="I38" s="193" t="s">
        <v>39</v>
      </c>
      <c r="J38" s="193" t="s">
        <v>40</v>
      </c>
      <c r="K38" s="193" t="s">
        <v>42</v>
      </c>
      <c r="L38" s="193" t="s">
        <v>43</v>
      </c>
      <c r="M38" s="193" t="s">
        <v>44</v>
      </c>
      <c r="N38" s="193" t="s">
        <v>45</v>
      </c>
      <c r="O38" s="193" t="s">
        <v>46</v>
      </c>
      <c r="P38" s="193" t="s">
        <v>47</v>
      </c>
      <c r="Q38" s="150" t="s">
        <v>50</v>
      </c>
      <c r="R38" s="150" t="s">
        <v>51</v>
      </c>
      <c r="S38" s="113"/>
      <c r="T38" s="113"/>
    </row>
    <row r="39" spans="1:21" ht="11.25" customHeight="1" x14ac:dyDescent="0.2">
      <c r="A39" s="192"/>
      <c r="B39" s="192"/>
      <c r="C39" s="196"/>
      <c r="D39" s="192"/>
      <c r="E39" s="196"/>
      <c r="F39" s="192"/>
      <c r="G39" s="194"/>
      <c r="H39" s="194"/>
      <c r="I39" s="194"/>
      <c r="J39" s="194"/>
      <c r="K39" s="194"/>
      <c r="L39" s="194"/>
      <c r="M39" s="194"/>
      <c r="N39" s="194"/>
      <c r="O39" s="194"/>
      <c r="P39" s="194"/>
      <c r="Q39" s="151"/>
      <c r="R39" s="151"/>
      <c r="S39" s="113"/>
      <c r="T39" s="113"/>
    </row>
    <row r="40" spans="1:21" s="159" customFormat="1" ht="13.5" customHeight="1" x14ac:dyDescent="0.2">
      <c r="A40" s="152">
        <v>1</v>
      </c>
      <c r="B40" s="153">
        <f ca="1">DATE(YEAR($O$16),MONTH($O$16),DAY($O$16))</f>
        <v>44438</v>
      </c>
      <c r="C40" s="154" t="s">
        <v>1</v>
      </c>
      <c r="D40" s="155">
        <f>E40+SUM(G40:P40)</f>
        <v>-9600</v>
      </c>
      <c r="E40" s="156">
        <f>-O14</f>
        <v>-10000</v>
      </c>
      <c r="F40" s="152" t="s">
        <v>1</v>
      </c>
      <c r="G40" s="155">
        <v>0</v>
      </c>
      <c r="H40" s="155">
        <v>0</v>
      </c>
      <c r="I40" s="155">
        <v>0</v>
      </c>
      <c r="J40" s="156">
        <f>IF($B$4=1,$O$14*$O$26,0)</f>
        <v>400</v>
      </c>
      <c r="K40" s="155">
        <v>0</v>
      </c>
      <c r="L40" s="156">
        <v>0</v>
      </c>
      <c r="M40" s="156">
        <v>0</v>
      </c>
      <c r="N40" s="156">
        <v>0</v>
      </c>
      <c r="O40" s="155" t="s">
        <v>16</v>
      </c>
      <c r="P40" s="156">
        <v>0</v>
      </c>
      <c r="Q40" s="157" t="str">
        <f ca="1">IF(OR($B51="Усього",$B51=""),"",IF($S40=0,XIRR(D39:D$40,B39:B$40,0.2),"Х"))</f>
        <v>Х</v>
      </c>
      <c r="R40" s="152" t="s">
        <v>1</v>
      </c>
      <c r="S40" s="158">
        <f>-E40</f>
        <v>10000</v>
      </c>
      <c r="T40" s="158"/>
    </row>
    <row r="41" spans="1:21" x14ac:dyDescent="0.2">
      <c r="A41" s="152">
        <v>2</v>
      </c>
      <c r="B41" s="160">
        <f t="shared" ref="B41:B51" ca="1" si="0">DATE(YEAR(B40),MONTH(B40)+1,DAY($O$21))</f>
        <v>44464</v>
      </c>
      <c r="C41" s="161">
        <f t="shared" ref="C41:C51" ca="1" si="1">B41-B40</f>
        <v>26</v>
      </c>
      <c r="D41" s="155">
        <f ca="1">IF($S40=0,SUM(D40:D$41),SUM(E41:P41))</f>
        <v>770.00000000000011</v>
      </c>
      <c r="E41" s="156">
        <f>-E40*7%</f>
        <v>700.00000000000011</v>
      </c>
      <c r="F41" s="155">
        <f ca="1">IF(B41-B40&lt;30,0,(S40*($F$21))*((B41-B40)-30)/(DATE(YEAR(B41)+1,1,1)-DATE(YEAR(B41),1,1)))</f>
        <v>0</v>
      </c>
      <c r="G41" s="155">
        <v>0</v>
      </c>
      <c r="H41" s="155">
        <v>0</v>
      </c>
      <c r="I41" s="155">
        <v>0</v>
      </c>
      <c r="J41" s="155">
        <f ca="1">IF(OR($B40="Усього",$B40=""),"",IF($S40=0,SUM(J$40:J40),0))</f>
        <v>0</v>
      </c>
      <c r="K41" s="155">
        <v>0</v>
      </c>
      <c r="L41" s="156">
        <v>0</v>
      </c>
      <c r="M41" s="156">
        <v>0</v>
      </c>
      <c r="N41" s="156">
        <v>0</v>
      </c>
      <c r="O41" s="155">
        <f>S40*O27</f>
        <v>70</v>
      </c>
      <c r="P41" s="156">
        <v>0</v>
      </c>
      <c r="Q41" s="162" t="str">
        <f>IF($O$14&lt;=0,0,IF($S40=0,0,"Х"))</f>
        <v>Х</v>
      </c>
      <c r="R41" s="163" t="str">
        <f t="shared" ref="R41:R51" ca="1" si="2">IF(OR($B40="Усього",$B40=""),"",IF($S40=0,SUM(F41:P41),"Х"))</f>
        <v>Х</v>
      </c>
      <c r="S41" s="164">
        <f t="shared" ref="S41:S52" ca="1" si="3">IF($S40=0,"",IF(DATE(YEAR(B40),MONTH(B40)+1,DAY($O$20))&gt;$O$18,0,S40-E41))</f>
        <v>9300</v>
      </c>
      <c r="T41" s="165" t="str">
        <f t="shared" ref="T41:T51" ca="1" si="4">IF(AND(B41&lt;=B40,B41&lt;&gt;""),"Невідповідність дат","")</f>
        <v/>
      </c>
    </row>
    <row r="42" spans="1:21" x14ac:dyDescent="0.2">
      <c r="A42" s="152">
        <v>3</v>
      </c>
      <c r="B42" s="160">
        <f t="shared" ca="1" si="0"/>
        <v>44494</v>
      </c>
      <c r="C42" s="161">
        <f t="shared" ca="1" si="1"/>
        <v>30</v>
      </c>
      <c r="D42" s="155">
        <f ca="1">IF($S41=0,SUM(D41:D$41),SUM(E42:P42))</f>
        <v>954.58767123287691</v>
      </c>
      <c r="E42" s="156">
        <f ca="1">S41*7%</f>
        <v>651.00000000000011</v>
      </c>
      <c r="F42" s="156">
        <f ca="1">IF(B42-B40&lt;30,0,(S41*($F$21))*((B42-B40)-30)/(DATE(YEAR(B41)+1,1,1)-DATE(YEAR(B41),1,1))-F41)</f>
        <v>238.48767123287672</v>
      </c>
      <c r="G42" s="155">
        <v>0</v>
      </c>
      <c r="H42" s="155">
        <v>0</v>
      </c>
      <c r="I42" s="155">
        <v>0</v>
      </c>
      <c r="J42" s="155">
        <f ca="1">IF(OR($B41="Усього",$B41=""),"",IF($S41=0,SUM(J$40:J41),0))</f>
        <v>0</v>
      </c>
      <c r="K42" s="155">
        <v>0</v>
      </c>
      <c r="L42" s="156">
        <v>0</v>
      </c>
      <c r="M42" s="156">
        <v>0</v>
      </c>
      <c r="N42" s="156">
        <v>0</v>
      </c>
      <c r="O42" s="155">
        <f ca="1">S41*O27</f>
        <v>65.099999999999994</v>
      </c>
      <c r="P42" s="156">
        <v>0</v>
      </c>
      <c r="Q42" s="162" t="str">
        <f ca="1">IF(OR($B41="Усього",$B41=""),"",IF($S41=0,XIRR(D$40:D41,B$40:B41,0.2),"Х"))</f>
        <v>Х</v>
      </c>
      <c r="R42" s="163" t="str">
        <f t="shared" ca="1" si="2"/>
        <v>Х</v>
      </c>
      <c r="S42" s="164">
        <f t="shared" ca="1" si="3"/>
        <v>8649</v>
      </c>
      <c r="T42" s="165" t="str">
        <f t="shared" ca="1" si="4"/>
        <v/>
      </c>
    </row>
    <row r="43" spans="1:21" ht="14.25" customHeight="1" x14ac:dyDescent="0.2">
      <c r="A43" s="152">
        <v>4</v>
      </c>
      <c r="B43" s="160">
        <f t="shared" ca="1" si="0"/>
        <v>44525</v>
      </c>
      <c r="C43" s="161">
        <f t="shared" ca="1" si="1"/>
        <v>31</v>
      </c>
      <c r="D43" s="155">
        <f ca="1">IF($S42=0,SUM(D$41:D42),SUM(E43:P43))</f>
        <v>930.4191369863014</v>
      </c>
      <c r="E43" s="156">
        <f t="shared" ref="E43:E50" ca="1" si="5">S42*7%</f>
        <v>605.43000000000006</v>
      </c>
      <c r="F43" s="155">
        <f ca="1">IF(OR($B42="Усього",$B42=""),"",IF($S42=0,SUM(F$41:F43),S42*($F$21)*(B43-B42)/(DATE(YEAR(B41)+1,1,1)-DATE(YEAR(B41),1,1))))</f>
        <v>264.44613698630138</v>
      </c>
      <c r="G43" s="155">
        <v>0</v>
      </c>
      <c r="H43" s="155">
        <v>0</v>
      </c>
      <c r="I43" s="155">
        <v>0</v>
      </c>
      <c r="J43" s="155">
        <f ca="1">IF(OR($B42="Усього",$B42=""),"",IF($S42=0,SUM(J$40:J42),0))</f>
        <v>0</v>
      </c>
      <c r="K43" s="155">
        <v>0</v>
      </c>
      <c r="L43" s="156">
        <v>0</v>
      </c>
      <c r="M43" s="156">
        <v>0</v>
      </c>
      <c r="N43" s="156">
        <v>0</v>
      </c>
      <c r="O43" s="155">
        <f ca="1">S42*O27</f>
        <v>60.542999999999999</v>
      </c>
      <c r="P43" s="156">
        <v>0</v>
      </c>
      <c r="Q43" s="162" t="str">
        <f ca="1">IF(OR($B42="Усього",$B42=""),"",IF($S42=0,XIRR(D$40:D42,B$40:B42,0.2),"Х"))</f>
        <v>Х</v>
      </c>
      <c r="R43" s="163" t="str">
        <f t="shared" ca="1" si="2"/>
        <v>Х</v>
      </c>
      <c r="S43" s="164">
        <f t="shared" ca="1" si="3"/>
        <v>8043.57</v>
      </c>
      <c r="T43" s="165" t="str">
        <f t="shared" ca="1" si="4"/>
        <v/>
      </c>
    </row>
    <row r="44" spans="1:21" x14ac:dyDescent="0.2">
      <c r="A44" s="152">
        <v>5</v>
      </c>
      <c r="B44" s="160">
        <f t="shared" ca="1" si="0"/>
        <v>44555</v>
      </c>
      <c r="C44" s="161">
        <f t="shared" ca="1" si="1"/>
        <v>30</v>
      </c>
      <c r="D44" s="155">
        <f ca="1">IF($S43=0,SUM(D$41:D43),SUM(E44:P44))</f>
        <v>857.35641328767122</v>
      </c>
      <c r="E44" s="156">
        <f t="shared" ca="1" si="5"/>
        <v>563.04989999999998</v>
      </c>
      <c r="F44" s="155">
        <f ca="1">IF(OR($B43="Усього",$B43=""),"",IF($S43=0,SUM(F$41:F44),S43*($F$21)*(B44-B43)/(DATE(YEAR(B42)+1,1,1)-DATE(YEAR(B42),1,1))))</f>
        <v>238.00152328767123</v>
      </c>
      <c r="G44" s="155">
        <v>0</v>
      </c>
      <c r="H44" s="155">
        <v>0</v>
      </c>
      <c r="I44" s="155">
        <v>0</v>
      </c>
      <c r="J44" s="155">
        <f ca="1">IF(OR($B43="Усього",$B43=""),"",IF($S43=0,SUM(J$40:J43),0))</f>
        <v>0</v>
      </c>
      <c r="K44" s="155">
        <v>0</v>
      </c>
      <c r="L44" s="156">
        <v>0</v>
      </c>
      <c r="M44" s="156">
        <v>0</v>
      </c>
      <c r="N44" s="156">
        <v>0</v>
      </c>
      <c r="O44" s="155">
        <f ca="1">S43*O27</f>
        <v>56.304989999999997</v>
      </c>
      <c r="P44" s="156">
        <v>0</v>
      </c>
      <c r="Q44" s="162" t="str">
        <f ca="1">IF(OR($B43="Усього",$B43=""),"",IF($S43=0,XIRR(D$40:D43,B$40:B43,0.2),"Х"))</f>
        <v>Х</v>
      </c>
      <c r="R44" s="163" t="str">
        <f t="shared" ca="1" si="2"/>
        <v>Х</v>
      </c>
      <c r="S44" s="164">
        <f t="shared" ca="1" si="3"/>
        <v>7480.5200999999997</v>
      </c>
      <c r="T44" s="165" t="str">
        <f t="shared" ca="1" si="4"/>
        <v/>
      </c>
    </row>
    <row r="45" spans="1:21" x14ac:dyDescent="0.2">
      <c r="A45" s="152">
        <v>6</v>
      </c>
      <c r="B45" s="160">
        <f t="shared" ca="1" si="0"/>
        <v>44586</v>
      </c>
      <c r="C45" s="161">
        <f t="shared" ca="1" si="1"/>
        <v>31</v>
      </c>
      <c r="D45" s="155">
        <f ca="1">IF($S44=0,SUM(D$41:D44),SUM(E45:P45))</f>
        <v>804.71951157945216</v>
      </c>
      <c r="E45" s="156">
        <f t="shared" ca="1" si="5"/>
        <v>523.63640700000008</v>
      </c>
      <c r="F45" s="155">
        <f ca="1">IF(OR($B44="Усього",$B44=""),"",IF($S44=0,SUM(F$41:F45),S44*($F$21)*(B45-B44)/(DATE(YEAR(B43)+1,1,1)-DATE(YEAR(B43),1,1))))</f>
        <v>228.71946387945204</v>
      </c>
      <c r="G45" s="155">
        <v>0</v>
      </c>
      <c r="H45" s="155">
        <v>0</v>
      </c>
      <c r="I45" s="155">
        <v>0</v>
      </c>
      <c r="J45" s="155">
        <f ca="1">IF(OR($B44="Усього",$B44=""),"",IF($S44=0,SUM(J$40:J44),0))</f>
        <v>0</v>
      </c>
      <c r="K45" s="155">
        <v>0</v>
      </c>
      <c r="L45" s="156">
        <v>0</v>
      </c>
      <c r="M45" s="156">
        <v>0</v>
      </c>
      <c r="N45" s="156">
        <v>0</v>
      </c>
      <c r="O45" s="155">
        <f ca="1">S44*O27</f>
        <v>52.363640699999998</v>
      </c>
      <c r="P45" s="156">
        <v>0</v>
      </c>
      <c r="Q45" s="162" t="str">
        <f ca="1">IF(OR($B44="Усього",$B44=""),"",IF($S44=0,XIRR(D$40:D44,B$40:B44,0.2),"Х"))</f>
        <v>Х</v>
      </c>
      <c r="R45" s="163" t="str">
        <f t="shared" ca="1" si="2"/>
        <v>Х</v>
      </c>
      <c r="S45" s="164">
        <f t="shared" ca="1" si="3"/>
        <v>6956.8836929999998</v>
      </c>
      <c r="T45" s="165" t="str">
        <f t="shared" ca="1" si="4"/>
        <v/>
      </c>
    </row>
    <row r="46" spans="1:21" x14ac:dyDescent="0.2">
      <c r="A46" s="152">
        <v>7</v>
      </c>
      <c r="B46" s="160">
        <f t="shared" ca="1" si="0"/>
        <v>44617</v>
      </c>
      <c r="C46" s="161">
        <f t="shared" ca="1" si="1"/>
        <v>31</v>
      </c>
      <c r="D46" s="155">
        <f ca="1">IF($S45=0,SUM(D$41:D45),SUM(E46:P46))</f>
        <v>748.38914576889044</v>
      </c>
      <c r="E46" s="156">
        <f ca="1">S45*7%</f>
        <v>486.98185851000005</v>
      </c>
      <c r="F46" s="155">
        <f ca="1">IF(OR($B45="Усього",$B45=""),"",IF($S45=0,SUM(F$41:F46),S45*($F$21)*(B46-B45)/(DATE(YEAR(B44)+1,1,1)-DATE(YEAR(B44),1,1))))</f>
        <v>212.70910140789039</v>
      </c>
      <c r="G46" s="155">
        <v>0</v>
      </c>
      <c r="H46" s="155">
        <v>0</v>
      </c>
      <c r="I46" s="155">
        <v>0</v>
      </c>
      <c r="J46" s="155">
        <f ca="1">IF(OR($B45="Усього",$B45=""),"",IF($S45=0,SUM(J$40:J45),0))</f>
        <v>0</v>
      </c>
      <c r="K46" s="155">
        <v>0</v>
      </c>
      <c r="L46" s="156">
        <v>0</v>
      </c>
      <c r="M46" s="156">
        <v>0</v>
      </c>
      <c r="N46" s="156">
        <v>0</v>
      </c>
      <c r="O46" s="155">
        <f ca="1">S45*O27</f>
        <v>48.698185850999998</v>
      </c>
      <c r="P46" s="156">
        <v>0</v>
      </c>
      <c r="Q46" s="162" t="str">
        <f ca="1">IF(OR($B45="Усього",$B45=""),"",IF($S45=0,XIRR(D$40:D45,B$40:B45,0.2),"Х"))</f>
        <v>Х</v>
      </c>
      <c r="R46" s="163" t="str">
        <f t="shared" ca="1" si="2"/>
        <v>Х</v>
      </c>
      <c r="S46" s="164">
        <f t="shared" ca="1" si="3"/>
        <v>6469.9018344899996</v>
      </c>
      <c r="T46" s="165" t="str">
        <f t="shared" ca="1" si="4"/>
        <v/>
      </c>
      <c r="U46" s="166"/>
    </row>
    <row r="47" spans="1:21" x14ac:dyDescent="0.2">
      <c r="A47" s="152">
        <v>8</v>
      </c>
      <c r="B47" s="160">
        <f t="shared" ca="1" si="0"/>
        <v>44645</v>
      </c>
      <c r="C47" s="161">
        <f t="shared" ca="1" si="1"/>
        <v>28</v>
      </c>
      <c r="D47" s="155">
        <f ca="1">IF($S46=0,SUM(D$41:D46),SUM(E47:P47))</f>
        <v>676.85808643835799</v>
      </c>
      <c r="E47" s="156">
        <f t="shared" ca="1" si="5"/>
        <v>452.89312841430001</v>
      </c>
      <c r="F47" s="155">
        <f ca="1">IF(OR($B46="Усього",$B46=""),"",IF($S46=0,SUM(F$41:F47),S46*($F$21)*(B47-B46)/(DATE(YEAR(B45)+1,1,1)-DATE(YEAR(B45),1,1))))</f>
        <v>178.67564518262793</v>
      </c>
      <c r="G47" s="155">
        <v>0</v>
      </c>
      <c r="H47" s="155">
        <v>0</v>
      </c>
      <c r="I47" s="155">
        <v>0</v>
      </c>
      <c r="J47" s="155">
        <f ca="1">IF(OR($B46="Усього",$B46=""),"",IF($S46=0,SUM(J$40:J46),0))</f>
        <v>0</v>
      </c>
      <c r="K47" s="155">
        <v>0</v>
      </c>
      <c r="L47" s="156">
        <v>0</v>
      </c>
      <c r="M47" s="156">
        <v>0</v>
      </c>
      <c r="N47" s="156">
        <v>0</v>
      </c>
      <c r="O47" s="155">
        <f ca="1">S46*O27</f>
        <v>45.289312841429997</v>
      </c>
      <c r="P47" s="156">
        <v>0</v>
      </c>
      <c r="Q47" s="162" t="str">
        <f ca="1">IF(OR($B46="Усього",$B46=""),"",IF($S46=0,XIRR(D$40:D46,B$40:B46,0.2),"Х"))</f>
        <v>Х</v>
      </c>
      <c r="R47" s="163" t="str">
        <f t="shared" ca="1" si="2"/>
        <v>Х</v>
      </c>
      <c r="S47" s="164">
        <f t="shared" ca="1" si="3"/>
        <v>6017.0087060756996</v>
      </c>
      <c r="T47" s="165" t="str">
        <f t="shared" ca="1" si="4"/>
        <v/>
      </c>
    </row>
    <row r="48" spans="1:21" x14ac:dyDescent="0.2">
      <c r="A48" s="152">
        <v>9</v>
      </c>
      <c r="B48" s="160">
        <f t="shared" ca="1" si="0"/>
        <v>44676</v>
      </c>
      <c r="C48" s="161">
        <f t="shared" ca="1" si="1"/>
        <v>31</v>
      </c>
      <c r="D48" s="155">
        <f ca="1">IF($S47=0,SUM(D$41:D47),SUM(E48:P48))</f>
        <v>647.28177217551331</v>
      </c>
      <c r="E48" s="156">
        <f t="shared" ca="1" si="5"/>
        <v>421.19060942529899</v>
      </c>
      <c r="F48" s="155">
        <f ca="1">IF(OR($B47="Усього",$B47=""),"",IF($S47=0,SUM(F$41:F48),S47*($F$21)*(B48-B47)/(DATE(YEAR(B46)+1,1,1)-DATE(YEAR(B46),1,1))))</f>
        <v>183.9721018076844</v>
      </c>
      <c r="G48" s="155">
        <v>0</v>
      </c>
      <c r="H48" s="155">
        <v>0</v>
      </c>
      <c r="I48" s="155">
        <v>0</v>
      </c>
      <c r="J48" s="155">
        <f ca="1">IF(OR($B47="Усього",$B47=""),"",IF($S47=0,SUM(J$40:J47),0))</f>
        <v>0</v>
      </c>
      <c r="K48" s="155">
        <v>0</v>
      </c>
      <c r="L48" s="156">
        <v>0</v>
      </c>
      <c r="M48" s="156">
        <v>0</v>
      </c>
      <c r="N48" s="156">
        <v>0</v>
      </c>
      <c r="O48" s="155">
        <f ca="1">S47*O27</f>
        <v>42.119060942529899</v>
      </c>
      <c r="P48" s="156">
        <v>0</v>
      </c>
      <c r="Q48" s="162" t="str">
        <f ca="1">IF(OR($B47="Усього",$B47=""),"",IF($S47=0,XIRR(D$40:D47,B$40:B47,0.2),"Х"))</f>
        <v>Х</v>
      </c>
      <c r="R48" s="163" t="str">
        <f t="shared" ca="1" si="2"/>
        <v>Х</v>
      </c>
      <c r="S48" s="164">
        <f t="shared" ca="1" si="3"/>
        <v>5595.8180966504005</v>
      </c>
      <c r="T48" s="165" t="str">
        <f t="shared" ca="1" si="4"/>
        <v/>
      </c>
    </row>
    <row r="49" spans="1:23" x14ac:dyDescent="0.2">
      <c r="A49" s="152">
        <v>10</v>
      </c>
      <c r="B49" s="160">
        <f t="shared" ca="1" si="0"/>
        <v>44706</v>
      </c>
      <c r="C49" s="161">
        <f t="shared" ca="1" si="1"/>
        <v>30</v>
      </c>
      <c r="D49" s="155">
        <f ca="1">IF($S48=0,SUM(D$41:D48),SUM(E49:P49))</f>
        <v>596.45288506899681</v>
      </c>
      <c r="E49" s="156">
        <f t="shared" ca="1" si="5"/>
        <v>391.70726676552806</v>
      </c>
      <c r="F49" s="155">
        <f ca="1">IF(OR($B48="Усього",$B48=""),"",IF($S48=0,SUM(F$41:F49),S48*($F$21)*(B49-B48)/(DATE(YEAR(B47)+1,1,1)-DATE(YEAR(B47),1,1))))</f>
        <v>165.57489162691596</v>
      </c>
      <c r="G49" s="155">
        <v>0</v>
      </c>
      <c r="H49" s="155">
        <v>0</v>
      </c>
      <c r="I49" s="155">
        <v>0</v>
      </c>
      <c r="J49" s="155">
        <f ca="1">IF(OR($B48="Усього",$B48=""),"",IF($S48=0,SUM(J$40:J48),0))</f>
        <v>0</v>
      </c>
      <c r="K49" s="155">
        <v>0</v>
      </c>
      <c r="L49" s="156">
        <v>0</v>
      </c>
      <c r="M49" s="156">
        <v>0</v>
      </c>
      <c r="N49" s="156">
        <v>0</v>
      </c>
      <c r="O49" s="155">
        <f ca="1">S48*O27</f>
        <v>39.170726676552803</v>
      </c>
      <c r="P49" s="156">
        <v>0</v>
      </c>
      <c r="Q49" s="162" t="str">
        <f ca="1">IF(OR($B48="Усього",$B48=""),"",IF($S48=0,XIRR(D$40:D48,B$40:B48,0.2),"Х"))</f>
        <v>Х</v>
      </c>
      <c r="R49" s="163" t="str">
        <f t="shared" ca="1" si="2"/>
        <v>Х</v>
      </c>
      <c r="S49" s="164">
        <f t="shared" ca="1" si="3"/>
        <v>5204.1108298848721</v>
      </c>
      <c r="T49" s="165" t="str">
        <f t="shared" ca="1" si="4"/>
        <v/>
      </c>
    </row>
    <row r="50" spans="1:23" x14ac:dyDescent="0.2">
      <c r="A50" s="152">
        <v>11</v>
      </c>
      <c r="B50" s="160">
        <f t="shared" ca="1" si="0"/>
        <v>44737</v>
      </c>
      <c r="C50" s="161">
        <f t="shared" ca="1" si="1"/>
        <v>31</v>
      </c>
      <c r="D50" s="155">
        <f ca="1">IF($S49=0,SUM(D$41:D49),SUM(E50:P50))</f>
        <v>559.83400475460144</v>
      </c>
      <c r="E50" s="156">
        <f t="shared" ca="1" si="5"/>
        <v>364.2877580919411</v>
      </c>
      <c r="F50" s="155">
        <f ca="1">IF(OR($B49="Усього",$B49=""),"",IF($S49=0,SUM(F$41:F50),S49*($F$21)*(B50-B49)/(DATE(YEAR(B48)+1,1,1)-DATE(YEAR(B48),1,1))))</f>
        <v>159.11747085346622</v>
      </c>
      <c r="G50" s="155">
        <v>0</v>
      </c>
      <c r="H50" s="155">
        <v>0</v>
      </c>
      <c r="I50" s="155">
        <v>0</v>
      </c>
      <c r="J50" s="155">
        <f ca="1">IF(OR($B49="Усього",$B49=""),"",IF($S49=0,SUM(J$40:J49),0))</f>
        <v>0</v>
      </c>
      <c r="K50" s="155">
        <v>0</v>
      </c>
      <c r="L50" s="156">
        <v>0</v>
      </c>
      <c r="M50" s="156">
        <v>0</v>
      </c>
      <c r="N50" s="156">
        <v>0</v>
      </c>
      <c r="O50" s="155">
        <f ca="1">S49*O27</f>
        <v>36.428775809194107</v>
      </c>
      <c r="P50" s="156">
        <v>0</v>
      </c>
      <c r="Q50" s="162" t="str">
        <f ca="1">IF(OR($B49="Усього",$B49=""),"",IF($S49=0,XIRR(D$40:D49,B$40:B49,0.2),"Х"))</f>
        <v>Х</v>
      </c>
      <c r="R50" s="163" t="str">
        <f t="shared" ca="1" si="2"/>
        <v>Х</v>
      </c>
      <c r="S50" s="164">
        <f t="shared" ca="1" si="3"/>
        <v>4839.8230717929309</v>
      </c>
      <c r="T50" s="165" t="str">
        <f t="shared" ca="1" si="4"/>
        <v/>
      </c>
    </row>
    <row r="51" spans="1:23" x14ac:dyDescent="0.2">
      <c r="A51" s="152">
        <v>12</v>
      </c>
      <c r="B51" s="160">
        <f t="shared" ca="1" si="0"/>
        <v>44767</v>
      </c>
      <c r="C51" s="161">
        <f t="shared" ca="1" si="1"/>
        <v>30</v>
      </c>
      <c r="D51" s="155">
        <f ca="1">IF($S50=0,SUM(D$41:D50),SUM(E51:P51))</f>
        <v>515.8721002961754</v>
      </c>
      <c r="E51" s="155">
        <f ca="1">IF(B51=$O$18,S50,S50*7%)</f>
        <v>338.7876150255052</v>
      </c>
      <c r="F51" s="155">
        <f ca="1">IF(OR($B50="Усього",$B50=""),"",IF($S50=0,SUM(F$41:F51),S50*($F$21)*(B51-B50)/(DATE(YEAR(B49)+1,1,1)-DATE(YEAR(B49),1,1))))</f>
        <v>143.20572376811961</v>
      </c>
      <c r="G51" s="155">
        <v>0</v>
      </c>
      <c r="H51" s="155">
        <v>0</v>
      </c>
      <c r="I51" s="155">
        <v>0</v>
      </c>
      <c r="J51" s="155">
        <f ca="1">IF(OR($B50="Усього",$B50=""),"",IF($S50=0,SUM(J$40:J50),0))</f>
        <v>0</v>
      </c>
      <c r="K51" s="155">
        <v>0</v>
      </c>
      <c r="L51" s="156">
        <v>0</v>
      </c>
      <c r="M51" s="156">
        <v>0</v>
      </c>
      <c r="N51" s="156">
        <v>0</v>
      </c>
      <c r="O51" s="155">
        <f ca="1">S50*O27</f>
        <v>33.878761502550518</v>
      </c>
      <c r="P51" s="156">
        <v>0</v>
      </c>
      <c r="Q51" s="162" t="str">
        <f ca="1">IF(OR($B50="Усього",$B50=""),"",IF($S50=0,XIRR(D$40:D50,B$40:B50,0.2),"Х"))</f>
        <v>Х</v>
      </c>
      <c r="R51" s="163" t="str">
        <f t="shared" ca="1" si="2"/>
        <v>Х</v>
      </c>
      <c r="S51" s="164">
        <f t="shared" ca="1" si="3"/>
        <v>4501.0354567674258</v>
      </c>
      <c r="T51" s="165" t="str">
        <f t="shared" ca="1" si="4"/>
        <v/>
      </c>
    </row>
    <row r="52" spans="1:23" s="103" customFormat="1" x14ac:dyDescent="0.2">
      <c r="A52" s="167" t="str">
        <f ca="1">IF(DAY($O$16)=1,"","13")</f>
        <v>13</v>
      </c>
      <c r="B52" s="167">
        <f ca="1">IF(DAY($O$16)=1,"Усього",O18)</f>
        <v>44798</v>
      </c>
      <c r="C52" s="161">
        <f ca="1">IF(DAY($O$16)=1,"",B52-B51)</f>
        <v>31</v>
      </c>
      <c r="D52" s="156">
        <f ca="1">IF($S51=0,SUM(D$41:D51),SUM(E52:P52))</f>
        <v>4670.1634055059612</v>
      </c>
      <c r="E52" s="156">
        <f ca="1">IF($S51=0,SUM($E$41:$E51),S51)</f>
        <v>4501.0354567674258</v>
      </c>
      <c r="F52" s="156">
        <f ca="1">IF($S51=0,SUM(F$41:F51),S51*($F21)*(B52-B51)/(DATE(YEAR(B50)+1,1,1)-DATE(YEAR(B50),1,1)))</f>
        <v>137.62070054116293</v>
      </c>
      <c r="G52" s="156">
        <f ca="1">IF(OR($B51="Усього",$B51=""),"",IF($S51=0,SUM(G$40:G51),0))</f>
        <v>0</v>
      </c>
      <c r="H52" s="156">
        <f ca="1">IF(OR($B51="Усього",$B51=""),"",IF($S51=0,SUM(H$40:H51),0))</f>
        <v>0</v>
      </c>
      <c r="I52" s="156">
        <f ca="1">IF(OR($B51="Усього",$B51=""),"",IF($S51=0,SUM(I$40:I51),0))</f>
        <v>0</v>
      </c>
      <c r="J52" s="156">
        <f ca="1">IF(OR($B51="Усього",$B51=""),"",IF($S51=0,SUM(J$40:J51),0))</f>
        <v>0</v>
      </c>
      <c r="K52" s="156">
        <f ca="1">IF(OR($B51="Усього",$B51=""),"",IF($S51=0,SUM(K$40:K51),0))</f>
        <v>0</v>
      </c>
      <c r="L52" s="156">
        <f ca="1">IF(OR($B51="Усього",$B51=""),"",IF($S51=0,SUM(L$40:L51),0))</f>
        <v>0</v>
      </c>
      <c r="M52" s="156">
        <f ca="1">IF(OR($B51="Усього",$B51=""),"",IF($S51=0,SUM(M$40:M51),0))</f>
        <v>0</v>
      </c>
      <c r="N52" s="156">
        <f ca="1">IF(OR($B51="Усього",$B51=""),"",IF($S51=0,SUM(N$40:N51),0))</f>
        <v>0</v>
      </c>
      <c r="O52" s="156">
        <f ca="1">IF(OR($B51="Усього",$B51=""),"",IF($S51=0,SUM(O$40:O51),S51*O27))</f>
        <v>31.507248197371982</v>
      </c>
      <c r="P52" s="156">
        <f ca="1">IF(OR($B51="Усього",$B51=""),"",IF($S51=0,SUM(P$40:P51),0))</f>
        <v>0</v>
      </c>
      <c r="Q52" s="157" t="str">
        <f ca="1">IF(OR($B51="Усього",$B51=""),"",IF($S51=0,XIRR(D$40:D51,B$40:B51,0.2),"Х"))</f>
        <v>Х</v>
      </c>
      <c r="R52" s="168" t="str">
        <f ca="1">IF(DAY($O$16)=1,SUM(E52:P52),"Х")</f>
        <v>Х</v>
      </c>
      <c r="S52" s="169">
        <f t="shared" ca="1" si="3"/>
        <v>0</v>
      </c>
      <c r="T52" s="170"/>
    </row>
    <row r="53" spans="1:23" s="103" customFormat="1" ht="12" customHeight="1" x14ac:dyDescent="0.2">
      <c r="A53" s="154"/>
      <c r="B53" s="167" t="str">
        <f ca="1">IF(DAY($O$16)=1,"","Усього")</f>
        <v>Усього</v>
      </c>
      <c r="C53" s="167"/>
      <c r="D53" s="156">
        <f ca="1">IF(DAY($O$16)=1,"",SUM(D41:D52))</f>
        <v>12731.934133094801</v>
      </c>
      <c r="E53" s="156">
        <f ca="1">IF(DAY($O$16)=1,"",SUM(E41:E52))</f>
        <v>10000</v>
      </c>
      <c r="F53" s="156">
        <f ca="1">IF(DAY($O$16)=1,"",SUM(F41:F52))</f>
        <v>2150.5304305741688</v>
      </c>
      <c r="G53" s="156">
        <f t="shared" ref="G53:P53" ca="1" si="6">IF(DAY($O$16)=1,"",SUM(G40:G52))</f>
        <v>0</v>
      </c>
      <c r="H53" s="156">
        <f t="shared" ca="1" si="6"/>
        <v>0</v>
      </c>
      <c r="I53" s="156">
        <f t="shared" ca="1" si="6"/>
        <v>0</v>
      </c>
      <c r="J53" s="156">
        <f t="shared" ca="1" si="6"/>
        <v>400</v>
      </c>
      <c r="K53" s="156">
        <f t="shared" ca="1" si="6"/>
        <v>0</v>
      </c>
      <c r="L53" s="156">
        <f t="shared" ca="1" si="6"/>
        <v>0</v>
      </c>
      <c r="M53" s="156">
        <f t="shared" ca="1" si="6"/>
        <v>0</v>
      </c>
      <c r="N53" s="156">
        <f t="shared" ca="1" si="6"/>
        <v>0</v>
      </c>
      <c r="O53" s="156">
        <f t="shared" ca="1" si="6"/>
        <v>581.40370252062939</v>
      </c>
      <c r="P53" s="156">
        <f t="shared" ca="1" si="6"/>
        <v>0</v>
      </c>
      <c r="Q53" s="157">
        <f ca="1">IF(OR($B52="Усього",$B52=""),"",IF($S52=0,XIRR(D$40:D52,B$40:B52,0.2),"Х"))</f>
        <v>0.58170337080955525</v>
      </c>
      <c r="R53" s="171">
        <f ca="1">IF(OR($B52="Усього",$B52=""),"",IF($S52=0,SUM(E53:P53),"Х"))</f>
        <v>13131.934133094797</v>
      </c>
      <c r="S53" s="169" t="str">
        <f ca="1">IF(OR(B53="Усього",B53=""),"",IF($S52=0,"",IF(DATE(YEAR(B52),MONTH(B52)+1,DAY($O$20))&gt;$O$18,0,S52-E53)))</f>
        <v/>
      </c>
      <c r="T53" s="170" t="str">
        <f ca="1">IF(AND(B53&lt;=O18,B53&lt;&gt;""),"Невідповідність дат","")</f>
        <v/>
      </c>
      <c r="V53" s="172" t="e">
        <f ca="1">IF(DAY(O16)=1,DATE(YEAR(#REF!),MONTH(#REF!),DAY($O$21)),DATE(YEAR(#REF!),MONTH(#REF!)+1,DAY($O$21)))</f>
        <v>#REF!</v>
      </c>
      <c r="W53" s="173">
        <f ca="1">DATE(YEAR($O$16)+2,MONTH($O$16),DAY($O$16)-1)</f>
        <v>45167</v>
      </c>
    </row>
    <row r="54" spans="1:23" ht="6.75" customHeight="1" x14ac:dyDescent="0.25">
      <c r="B54" s="95"/>
      <c r="C54" s="95"/>
      <c r="D54" s="95"/>
      <c r="E54" s="95"/>
      <c r="F54" s="99"/>
      <c r="G54" s="99"/>
      <c r="H54" s="99"/>
      <c r="I54" s="99"/>
      <c r="J54" s="95"/>
      <c r="K54" s="95"/>
      <c r="L54" s="95"/>
      <c r="M54" s="95"/>
      <c r="N54" s="95"/>
      <c r="O54" s="95"/>
      <c r="P54" s="95"/>
      <c r="Q54" s="95"/>
      <c r="R54" s="95"/>
      <c r="S54" s="95"/>
      <c r="T54" s="95"/>
      <c r="U54" s="95"/>
    </row>
    <row r="55" spans="1:23" s="95" customFormat="1" ht="0.75" hidden="1" customHeight="1" x14ac:dyDescent="0.25">
      <c r="F55" s="174"/>
      <c r="G55" s="174"/>
      <c r="H55" s="174"/>
      <c r="I55" s="99"/>
    </row>
    <row r="56" spans="1:23" ht="40.5" customHeight="1" x14ac:dyDescent="0.2">
      <c r="B56" s="188" t="s">
        <v>64</v>
      </c>
      <c r="C56" s="188"/>
      <c r="D56" s="188"/>
      <c r="E56" s="188"/>
      <c r="F56" s="188"/>
      <c r="G56" s="188"/>
      <c r="H56" s="188"/>
      <c r="I56" s="188"/>
      <c r="J56" s="188"/>
      <c r="K56" s="188"/>
      <c r="L56" s="179">
        <f ca="1">L59-O14</f>
        <v>3131.9341330947973</v>
      </c>
      <c r="M56" s="180"/>
      <c r="N56" s="180"/>
      <c r="O56" s="180"/>
    </row>
    <row r="57" spans="1:23" s="95" customFormat="1" ht="30" customHeight="1" x14ac:dyDescent="0.25">
      <c r="B57" s="188" t="s">
        <v>65</v>
      </c>
      <c r="C57" s="188"/>
      <c r="D57" s="188"/>
      <c r="E57" s="188"/>
      <c r="F57" s="188"/>
      <c r="G57" s="188"/>
      <c r="H57" s="188"/>
      <c r="I57" s="188"/>
      <c r="J57" s="188"/>
      <c r="K57" s="188"/>
      <c r="L57" s="179">
        <f ca="1">IF(DAY($O$16)=1,SUM(G52:J52),SUM(G53:J53))</f>
        <v>400</v>
      </c>
      <c r="M57" s="180"/>
      <c r="N57" s="180"/>
      <c r="O57" s="180"/>
    </row>
    <row r="58" spans="1:23" s="95" customFormat="1" ht="30" customHeight="1" x14ac:dyDescent="0.25">
      <c r="B58" s="188" t="s">
        <v>66</v>
      </c>
      <c r="C58" s="188"/>
      <c r="D58" s="188"/>
      <c r="E58" s="188"/>
      <c r="F58" s="188"/>
      <c r="G58" s="188"/>
      <c r="H58" s="188"/>
      <c r="I58" s="188"/>
      <c r="J58" s="188"/>
      <c r="K58" s="188"/>
      <c r="L58" s="179">
        <f ca="1">IF(DAY($O$16)=1,SUM(K52:P52),SUM(K53:P53))</f>
        <v>581.40370252062939</v>
      </c>
      <c r="M58" s="180"/>
      <c r="N58" s="180"/>
      <c r="O58" s="180"/>
    </row>
    <row r="59" spans="1:23" s="95" customFormat="1" ht="30" customHeight="1" x14ac:dyDescent="0.25">
      <c r="B59" s="188" t="s">
        <v>67</v>
      </c>
      <c r="C59" s="188"/>
      <c r="D59" s="188"/>
      <c r="E59" s="188"/>
      <c r="F59" s="188"/>
      <c r="G59" s="188"/>
      <c r="H59" s="188"/>
      <c r="I59" s="188"/>
      <c r="J59" s="188"/>
      <c r="K59" s="188"/>
      <c r="L59" s="181">
        <f ca="1">IF(DAY($O$16)=1,R52,R53)</f>
        <v>13131.934133094797</v>
      </c>
      <c r="M59" s="180"/>
      <c r="N59" s="180"/>
      <c r="O59" s="180"/>
    </row>
    <row r="60" spans="1:23" s="95" customFormat="1" ht="30" customHeight="1" x14ac:dyDescent="0.25">
      <c r="B60" s="190" t="s">
        <v>68</v>
      </c>
      <c r="C60" s="190"/>
      <c r="D60" s="190"/>
      <c r="E60" s="190"/>
      <c r="F60" s="190"/>
      <c r="G60" s="190"/>
      <c r="H60" s="190"/>
      <c r="I60" s="190"/>
      <c r="J60" s="190"/>
      <c r="K60" s="190"/>
      <c r="L60" s="182">
        <f ca="1">IF(DAY($O$16)=1,Q52,Q53)</f>
        <v>0.58170337080955525</v>
      </c>
      <c r="M60" s="180"/>
      <c r="N60" s="180"/>
      <c r="O60" s="180"/>
    </row>
    <row r="61" spans="1:23" s="95" customFormat="1" ht="43.5" customHeight="1" x14ac:dyDescent="0.25">
      <c r="B61" s="188" t="s">
        <v>69</v>
      </c>
      <c r="C61" s="188"/>
      <c r="D61" s="188"/>
      <c r="E61" s="188"/>
      <c r="F61" s="188"/>
      <c r="G61" s="188"/>
      <c r="H61" s="188"/>
      <c r="I61" s="188"/>
      <c r="J61" s="188"/>
      <c r="K61" s="188"/>
      <c r="L61" s="188"/>
      <c r="M61" s="189"/>
      <c r="N61" s="189"/>
      <c r="O61" s="189"/>
    </row>
    <row r="62" spans="1:23" s="95" customFormat="1" ht="48.75" customHeight="1" x14ac:dyDescent="0.25">
      <c r="B62" s="188" t="s">
        <v>70</v>
      </c>
      <c r="C62" s="188"/>
      <c r="D62" s="188"/>
      <c r="E62" s="188"/>
      <c r="F62" s="188"/>
      <c r="G62" s="188"/>
      <c r="H62" s="188"/>
      <c r="I62" s="188"/>
      <c r="J62" s="188"/>
      <c r="K62" s="188"/>
      <c r="L62" s="188"/>
      <c r="M62" s="188"/>
      <c r="N62" s="188"/>
      <c r="O62" s="188"/>
    </row>
    <row r="63" spans="1:23" s="95" customFormat="1" ht="33" customHeight="1" x14ac:dyDescent="0.25">
      <c r="B63" s="188" t="s">
        <v>71</v>
      </c>
      <c r="C63" s="188"/>
      <c r="D63" s="188"/>
      <c r="E63" s="188"/>
      <c r="F63" s="188"/>
      <c r="G63" s="188"/>
      <c r="H63" s="188"/>
      <c r="I63" s="188"/>
      <c r="J63" s="188"/>
      <c r="K63" s="188"/>
      <c r="L63" s="188"/>
      <c r="M63" s="188"/>
      <c r="N63" s="188"/>
      <c r="O63" s="188"/>
    </row>
    <row r="64" spans="1:23" s="95" customFormat="1" ht="18" x14ac:dyDescent="0.25">
      <c r="F64" s="99"/>
      <c r="G64" s="99"/>
      <c r="H64" s="99"/>
      <c r="I64" s="99"/>
    </row>
    <row r="65" spans="4:14" s="95" customFormat="1" ht="18" x14ac:dyDescent="0.25">
      <c r="F65" s="99"/>
      <c r="G65" s="99"/>
      <c r="H65" s="99"/>
      <c r="I65" s="99"/>
    </row>
    <row r="66" spans="4:14" s="95" customFormat="1" ht="18" x14ac:dyDescent="0.25">
      <c r="F66" s="99"/>
      <c r="G66" s="99"/>
      <c r="H66" s="99"/>
      <c r="I66" s="99"/>
    </row>
    <row r="67" spans="4:14" s="95" customFormat="1" ht="18" x14ac:dyDescent="0.25">
      <c r="F67" s="99"/>
      <c r="G67" s="99"/>
      <c r="H67" s="99"/>
      <c r="I67" s="99"/>
    </row>
    <row r="68" spans="4:14" s="95" customFormat="1" ht="11.25" customHeight="1" x14ac:dyDescent="0.25">
      <c r="D68" s="175"/>
      <c r="F68" s="176"/>
      <c r="G68" s="176"/>
      <c r="H68" s="176"/>
      <c r="I68" s="99"/>
      <c r="J68" s="92"/>
      <c r="K68" s="92"/>
      <c r="L68" s="92"/>
      <c r="M68" s="92"/>
      <c r="N68" s="92"/>
    </row>
    <row r="69" spans="4:14" s="95" customFormat="1" ht="5.25" customHeight="1" x14ac:dyDescent="0.25">
      <c r="F69" s="99"/>
      <c r="G69" s="99"/>
      <c r="H69" s="99"/>
      <c r="I69" s="99"/>
    </row>
    <row r="70" spans="4:14" s="95" customFormat="1" ht="18" hidden="1" x14ac:dyDescent="0.25">
      <c r="F70" s="99"/>
      <c r="G70" s="99"/>
      <c r="H70" s="99"/>
      <c r="I70" s="99"/>
    </row>
  </sheetData>
  <sheetProtection algorithmName="SHA-512" hashValue="59GhgqksTvrnen2zVPX6hMZfVp0BClHsunbFIBHUD4N/ah2857kbTAMBG2RO+2+xWWACnpVnjUH3YMmJH1pIjw==" saltValue="lCquHoQ7Gbtrw4YxEinlmw==" spinCount="100000" sheet="1" objects="1" scenarios="1"/>
  <protectedRanges>
    <protectedRange sqref="B12:H15 I12:N13 J14:J15" name="Диапазон12"/>
    <protectedRange sqref="P26:R27" name="Диапазон10"/>
    <protectedRange sqref="E12:H17 I12:N13 I17:N17" name="Диапазон8"/>
    <protectedRange sqref="E14:H14" name="Диапазон6"/>
    <protectedRange sqref="F21:H22" name="Диапазон4"/>
    <protectedRange sqref="O14:O15 O17:O18" name="Диапазон2"/>
    <protectedRange sqref="O9 P10:Q10 O4:Q6" name="Диапазон1"/>
    <protectedRange sqref="O11 O4:O9 B4:N11 P4:IV11" name="Диапазон5"/>
    <protectedRange sqref="P26:R27" name="Диапазон7"/>
    <protectedRange sqref="F12:H25 I12:N13 I17:N17 I19:N19 I22:N25" name="Диапазон9"/>
    <protectedRange sqref="I4:N11" name="Диапазон11"/>
    <protectedRange sqref="B64:O69" name="Диапазон3_1"/>
    <protectedRange sqref="O16" name="Диапазон2_1_1_1"/>
    <protectedRange sqref="C56:O58 C61:O62 C59:K60 M59:O60" name="Диапазон3_1_1"/>
    <protectedRange sqref="L59:L60" name="Диапазон3_1_1_1"/>
  </protectedRanges>
  <dataConsolidate/>
  <mergeCells count="52">
    <mergeCell ref="B1:P1"/>
    <mergeCell ref="O7:R8"/>
    <mergeCell ref="O9:P11"/>
    <mergeCell ref="J14:L14"/>
    <mergeCell ref="J15:L15"/>
    <mergeCell ref="F2:N2"/>
    <mergeCell ref="B30:R30"/>
    <mergeCell ref="B26:N26"/>
    <mergeCell ref="B27:N27"/>
    <mergeCell ref="A33:R33"/>
    <mergeCell ref="J16:L16"/>
    <mergeCell ref="J18:L18"/>
    <mergeCell ref="B20:E20"/>
    <mergeCell ref="J20:L20"/>
    <mergeCell ref="J21:L21"/>
    <mergeCell ref="A34:A37"/>
    <mergeCell ref="B34:B37"/>
    <mergeCell ref="C34:C37"/>
    <mergeCell ref="D34:D37"/>
    <mergeCell ref="E34:P34"/>
    <mergeCell ref="Q34:Q37"/>
    <mergeCell ref="R34:R37"/>
    <mergeCell ref="E35:E37"/>
    <mergeCell ref="F35:F37"/>
    <mergeCell ref="G35:P35"/>
    <mergeCell ref="G36:J36"/>
    <mergeCell ref="K36:L36"/>
    <mergeCell ref="M36:P36"/>
    <mergeCell ref="A38:A39"/>
    <mergeCell ref="B38:B39"/>
    <mergeCell ref="C38:C39"/>
    <mergeCell ref="D38:D39"/>
    <mergeCell ref="E38:E39"/>
    <mergeCell ref="F38:F39"/>
    <mergeCell ref="M38:M39"/>
    <mergeCell ref="N38:N39"/>
    <mergeCell ref="O38:O39"/>
    <mergeCell ref="P38:P39"/>
    <mergeCell ref="G38:G39"/>
    <mergeCell ref="H38:H39"/>
    <mergeCell ref="I38:I39"/>
    <mergeCell ref="J38:J39"/>
    <mergeCell ref="K38:K39"/>
    <mergeCell ref="L38:L39"/>
    <mergeCell ref="B61:O61"/>
    <mergeCell ref="B62:O62"/>
    <mergeCell ref="B63:O63"/>
    <mergeCell ref="B56:K56"/>
    <mergeCell ref="B57:K57"/>
    <mergeCell ref="B58:K58"/>
    <mergeCell ref="B59:K59"/>
    <mergeCell ref="B60:K60"/>
  </mergeCells>
  <conditionalFormatting sqref="Q31 O26">
    <cfRule type="cellIs" dxfId="1" priority="1" stopIfTrue="1" operator="equal">
      <formula>0</formula>
    </cfRule>
  </conditionalFormatting>
  <dataValidations count="8">
    <dataValidation type="list" allowBlank="1" showInputMessage="1" showErrorMessage="1" sqref="H21">
      <formula1>$U$14:$U$15</formula1>
    </dataValidation>
    <dataValidation type="whole" operator="equal" allowBlank="1" showInputMessage="1" showErrorMessage="1" errorTitle="Увага!" error="За умовами продукту, підключення до M-banking є обов'язковим" sqref="F4:H4">
      <formula1>1</formula1>
    </dataValidation>
    <dataValidation showDropDown="1" showInputMessage="1" showErrorMessage="1" sqref="J4:N4"/>
    <dataValidation type="list" allowBlank="1" showInputMessage="1" showErrorMessage="1" sqref="F20">
      <formula1>$G$20</formula1>
    </dataValidation>
    <dataValidation type="list" allowBlank="1" showInputMessage="1" showErrorMessage="1" sqref="F21">
      <formula1>$G$21</formula1>
    </dataValidation>
    <dataValidation type="list" allowBlank="1" showInputMessage="1" showErrorMessage="1" sqref="F22">
      <formula1>$G$22</formula1>
    </dataValidation>
    <dataValidation type="list" allowBlank="1" showInputMessage="1" showErrorMessage="1" sqref="O20">
      <formula1>$P$20</formula1>
    </dataValidation>
    <dataValidation type="list" allowBlank="1" showInputMessage="1" showErrorMessage="1" sqref="O21">
      <formula1>$Q$20</formula1>
    </dataValidation>
  </dataValidations>
  <pageMargins left="0" right="0" top="0" bottom="0" header="0" footer="0"/>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from>
                    <xdr:col>3</xdr:col>
                    <xdr:colOff>838200</xdr:colOff>
                    <xdr:row>15</xdr:row>
                    <xdr:rowOff>9525</xdr:rowOff>
                  </from>
                  <to>
                    <xdr:col>6</xdr:col>
                    <xdr:colOff>133350</xdr:colOff>
                    <xdr:row>17</xdr:row>
                    <xdr:rowOff>76200</xdr:rowOff>
                  </to>
                </anchor>
              </controlPr>
            </control>
          </mc:Choice>
        </mc:AlternateContent>
        <mc:AlternateContent xmlns:mc="http://schemas.openxmlformats.org/markup-compatibility/2006">
          <mc:Choice Requires="x14">
            <control shapeId="15362" r:id="rId5" name="Drop Down 2">
              <controlPr locked="0" defaultSize="0" autoLine="0" autoPict="0">
                <anchor moveWithCells="1">
                  <from>
                    <xdr:col>3</xdr:col>
                    <xdr:colOff>838200</xdr:colOff>
                    <xdr:row>13</xdr:row>
                    <xdr:rowOff>0</xdr:rowOff>
                  </from>
                  <to>
                    <xdr:col>6</xdr:col>
                    <xdr:colOff>133350</xdr:colOff>
                    <xdr:row>14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A67"/>
  <sheetViews>
    <sheetView showGridLines="0" zoomScale="115" zoomScaleNormal="115" zoomScaleSheetLayoutView="97" workbookViewId="0">
      <selection activeCell="H20" sqref="H20"/>
    </sheetView>
  </sheetViews>
  <sheetFormatPr defaultRowHeight="11.25" x14ac:dyDescent="0.2"/>
  <cols>
    <col min="1" max="1" width="9.140625" style="3"/>
    <col min="2" max="3" width="12.28515625" style="3" customWidth="1"/>
    <col min="4" max="4" width="14.28515625" style="3" customWidth="1"/>
    <col min="5" max="5" width="12.140625" style="3" customWidth="1"/>
    <col min="6" max="6" width="11.85546875" style="1" customWidth="1"/>
    <col min="7" max="7" width="15.85546875" style="1" customWidth="1"/>
    <col min="8" max="8" width="11.5703125" style="1" customWidth="1"/>
    <col min="9" max="9" width="15" style="1" customWidth="1"/>
    <col min="10" max="10" width="19.28515625" style="3" customWidth="1"/>
    <col min="11" max="11" width="12.7109375" style="3" customWidth="1"/>
    <col min="12" max="12" width="15.42578125" style="3" customWidth="1"/>
    <col min="13" max="13" width="10.85546875" style="3" customWidth="1"/>
    <col min="14" max="14" width="11" style="3" customWidth="1"/>
    <col min="15" max="15" width="12" style="3" customWidth="1"/>
    <col min="16" max="16" width="11.7109375" style="3" customWidth="1"/>
    <col min="17" max="17" width="28" style="3" customWidth="1"/>
    <col min="18" max="18" width="16" style="3" customWidth="1"/>
    <col min="19" max="19" width="11.85546875" style="3" customWidth="1"/>
    <col min="20" max="20" width="1.85546875" style="3" bestFit="1" customWidth="1"/>
    <col min="21" max="21" width="9.140625" style="28"/>
    <col min="22" max="23" width="9.140625" style="3" hidden="1" customWidth="1"/>
    <col min="24" max="16384" width="9.140625" style="3"/>
  </cols>
  <sheetData>
    <row r="1" spans="2:21" ht="39" customHeight="1" x14ac:dyDescent="0.2">
      <c r="B1" s="255"/>
      <c r="C1" s="255"/>
      <c r="D1" s="255"/>
      <c r="E1" s="255"/>
      <c r="F1" s="255"/>
      <c r="G1" s="255"/>
      <c r="H1" s="255"/>
      <c r="I1" s="255"/>
      <c r="J1" s="255"/>
      <c r="K1" s="255"/>
      <c r="L1" s="255"/>
      <c r="M1" s="255"/>
      <c r="N1" s="255"/>
      <c r="O1" s="255"/>
      <c r="P1" s="255"/>
      <c r="Q1" s="80" t="s">
        <v>54</v>
      </c>
    </row>
    <row r="2" spans="2:21" s="32" customFormat="1" ht="16.5" customHeight="1" x14ac:dyDescent="0.25">
      <c r="B2" s="3">
        <v>1</v>
      </c>
      <c r="C2" s="3"/>
      <c r="D2" s="28">
        <v>1</v>
      </c>
      <c r="E2" s="28">
        <v>2</v>
      </c>
      <c r="F2" s="47">
        <v>1</v>
      </c>
      <c r="G2" s="47"/>
      <c r="H2" s="47"/>
      <c r="I2" s="47">
        <v>1</v>
      </c>
      <c r="J2" s="28">
        <v>1</v>
      </c>
      <c r="K2" s="28"/>
      <c r="L2" s="3"/>
      <c r="M2" s="3"/>
      <c r="N2" s="3"/>
      <c r="O2" s="13"/>
      <c r="P2" s="13"/>
      <c r="Q2" s="3"/>
      <c r="R2" s="33"/>
      <c r="U2" s="28"/>
    </row>
    <row r="3" spans="2:21" s="32" customFormat="1" ht="22.5" customHeight="1" x14ac:dyDescent="0.25">
      <c r="B3" s="3" t="str">
        <f>"Домовичок"</f>
        <v>Домовичок</v>
      </c>
      <c r="C3" s="3"/>
      <c r="D3" s="28" t="str">
        <f>"гривня"</f>
        <v>гривня</v>
      </c>
      <c r="E3" s="28" t="str">
        <f>"Торговий POS-термінал"</f>
        <v>Торговий POS-термінал</v>
      </c>
      <c r="F3" s="47" t="s">
        <v>4</v>
      </c>
      <c r="G3" s="47"/>
      <c r="H3" s="47"/>
      <c r="I3" s="48" t="str">
        <f>"ДОМОВИЧОК"</f>
        <v>ДОМОВИЧОК</v>
      </c>
      <c r="J3" s="28" t="str">
        <f>"в кінці строку"</f>
        <v>в кінці строку</v>
      </c>
      <c r="K3" s="28"/>
      <c r="L3" s="3"/>
      <c r="M3" s="3"/>
      <c r="N3" s="3"/>
      <c r="O3" s="3"/>
      <c r="P3" s="3"/>
      <c r="Q3" s="3"/>
      <c r="R3" s="33"/>
      <c r="U3" s="28"/>
    </row>
    <row r="4" spans="2:21" s="32" customFormat="1" ht="10.5" customHeight="1" x14ac:dyDescent="0.25">
      <c r="B4" s="3" t="s">
        <v>49</v>
      </c>
      <c r="C4" s="3"/>
      <c r="D4" s="28" t="str">
        <f>IF($B$2=3,"долар США","---")</f>
        <v>---</v>
      </c>
      <c r="E4" s="28" t="str">
        <f>"Банкомат АБ «Укргазбанк»"</f>
        <v>Банкомат АБ «Укргазбанк»</v>
      </c>
      <c r="F4" s="47" t="s">
        <v>11</v>
      </c>
      <c r="G4" s="47"/>
      <c r="H4" s="47"/>
      <c r="I4" s="42">
        <v>1</v>
      </c>
      <c r="J4" s="28" t="str">
        <f>"зменшення ліміту"</f>
        <v>зменшення ліміту</v>
      </c>
      <c r="K4" s="28"/>
      <c r="L4" s="3"/>
      <c r="M4" s="3"/>
      <c r="N4" s="3"/>
      <c r="O4" s="36"/>
      <c r="P4" s="13"/>
      <c r="Q4" s="3"/>
      <c r="U4" s="28"/>
    </row>
    <row r="5" spans="2:21" ht="6" customHeight="1" x14ac:dyDescent="0.2">
      <c r="D5" s="28" t="str">
        <f>IF($B$2=3,"євро","---")</f>
        <v>---</v>
      </c>
      <c r="E5" s="28"/>
      <c r="F5" s="47"/>
      <c r="G5" s="47"/>
      <c r="H5" s="47"/>
      <c r="I5" s="48"/>
      <c r="J5" s="28" t="str">
        <f>"щомісячна очікувана сума"</f>
        <v>щомісячна очікувана сума</v>
      </c>
      <c r="K5" s="28"/>
      <c r="L5" s="28"/>
      <c r="M5" s="28"/>
      <c r="N5" s="28"/>
      <c r="O5" s="256"/>
      <c r="P5" s="256"/>
      <c r="Q5" s="256"/>
      <c r="R5" s="256"/>
    </row>
    <row r="6" spans="2:21" ht="6" customHeight="1" x14ac:dyDescent="0.2">
      <c r="B6" s="28" t="str">
        <f>"Овердрафт «Кредитна картка»"</f>
        <v>Овердрафт «Кредитна картка»</v>
      </c>
      <c r="C6" s="28"/>
      <c r="D6" s="28"/>
      <c r="E6" s="28"/>
      <c r="F6" s="24"/>
      <c r="G6" s="24"/>
      <c r="H6" s="24"/>
      <c r="I6" s="47"/>
      <c r="J6" s="28"/>
      <c r="K6" s="28"/>
      <c r="L6" s="28"/>
      <c r="M6" s="28"/>
      <c r="N6" s="28"/>
      <c r="O6" s="256"/>
      <c r="P6" s="256"/>
      <c r="Q6" s="256"/>
      <c r="R6" s="256"/>
    </row>
    <row r="7" spans="2:21" ht="6" customHeight="1" x14ac:dyDescent="0.25">
      <c r="B7" s="28" t="str">
        <f>"Програма новий клієнт"</f>
        <v>Програма новий клієнт</v>
      </c>
      <c r="C7" s="28"/>
      <c r="D7" s="28"/>
      <c r="E7" s="28"/>
      <c r="F7" s="24"/>
      <c r="G7" s="24"/>
      <c r="H7" s="24"/>
      <c r="I7" s="47"/>
      <c r="J7" s="23"/>
      <c r="K7" s="23"/>
      <c r="L7" s="23"/>
      <c r="M7" s="23"/>
      <c r="N7" s="23"/>
      <c r="O7" s="257"/>
      <c r="P7" s="257"/>
      <c r="Q7" s="14"/>
    </row>
    <row r="8" spans="2:21" ht="6" customHeight="1" x14ac:dyDescent="0.25">
      <c r="B8" s="28" t="str">
        <f>"Овердрафт під депозит"</f>
        <v>Овердрафт під депозит</v>
      </c>
      <c r="C8" s="28"/>
      <c r="D8" s="28"/>
      <c r="E8" s="28"/>
      <c r="F8" s="24"/>
      <c r="G8" s="24"/>
      <c r="H8" s="24"/>
      <c r="I8" s="47"/>
      <c r="J8" s="23"/>
      <c r="K8" s="23"/>
      <c r="L8" s="23"/>
      <c r="M8" s="23"/>
      <c r="N8" s="23"/>
      <c r="O8" s="257"/>
      <c r="P8" s="257"/>
      <c r="Q8" s="14"/>
    </row>
    <row r="9" spans="2:21" ht="6" customHeight="1" x14ac:dyDescent="0.25">
      <c r="B9" s="28" t="str">
        <f>"Овердрафт «Додаткова пенсія»"</f>
        <v>Овердрафт «Додаткова пенсія»</v>
      </c>
      <c r="C9" s="28"/>
      <c r="D9" s="28"/>
      <c r="E9" s="28"/>
      <c r="F9" s="24"/>
      <c r="G9" s="24"/>
      <c r="H9" s="24"/>
      <c r="I9" s="24"/>
      <c r="J9" s="23"/>
      <c r="K9" s="23"/>
      <c r="L9" s="23"/>
      <c r="M9" s="23"/>
      <c r="N9" s="23"/>
      <c r="O9" s="257"/>
      <c r="P9" s="257"/>
      <c r="Q9" s="14"/>
    </row>
    <row r="10" spans="2:21" x14ac:dyDescent="0.2">
      <c r="B10" s="25" t="str">
        <f>"Параметри кредитної програми"</f>
        <v>Параметри кредитної програми</v>
      </c>
      <c r="C10" s="25"/>
      <c r="D10" s="23"/>
      <c r="E10" s="23"/>
      <c r="F10" s="24"/>
      <c r="G10" s="24"/>
      <c r="H10" s="24"/>
      <c r="I10" s="24"/>
      <c r="J10" s="23"/>
      <c r="K10" s="66"/>
      <c r="L10" s="66"/>
      <c r="M10" s="66"/>
      <c r="N10" s="66"/>
      <c r="R10" s="16" t="str">
        <f ca="1">"Курс НБУ на " &amp; TEXT(NOW(),"ДД.ММ.ГГГГ") &amp; " р."</f>
        <v>Курс НБУ на ДД.ММ.ГГГГ р.</v>
      </c>
    </row>
    <row r="11" spans="2:21" ht="3.75" customHeight="1" x14ac:dyDescent="0.2">
      <c r="K11" s="7"/>
      <c r="L11" s="7"/>
      <c r="M11" s="7"/>
      <c r="N11" s="7"/>
      <c r="R11" s="16"/>
    </row>
    <row r="12" spans="2:21" ht="12.75" customHeight="1" x14ac:dyDescent="0.2">
      <c r="B12" s="3" t="str">
        <f>"Програма кредитування:"</f>
        <v>Програма кредитування:</v>
      </c>
      <c r="J12" s="258" t="str">
        <f>"Початкова сума ліміту овердрафту"</f>
        <v>Початкова сума ліміту овердрафту</v>
      </c>
      <c r="K12" s="258"/>
      <c r="L12" s="258"/>
      <c r="N12" s="67"/>
      <c r="O12" s="89">
        <v>10000</v>
      </c>
      <c r="P12" s="3" t="str">
        <f>IF($D$2=2, "доларів США", IF($D$2=3, "євро", "грн"))</f>
        <v>грн</v>
      </c>
      <c r="Q12" s="3" t="s">
        <v>3</v>
      </c>
      <c r="R12" s="19"/>
      <c r="U12" s="52">
        <v>0.42</v>
      </c>
    </row>
    <row r="13" spans="2:21" ht="12.75" customHeight="1" x14ac:dyDescent="0.2">
      <c r="J13" s="251" t="str">
        <f>"Максимальний за продуктом ліміт овердрафту"</f>
        <v>Максимальний за продуктом ліміт овердрафту</v>
      </c>
      <c r="K13" s="251"/>
      <c r="L13" s="251"/>
      <c r="N13" s="68"/>
      <c r="O13" s="56">
        <v>300000</v>
      </c>
      <c r="Q13" s="3" t="s">
        <v>5</v>
      </c>
      <c r="R13" s="20"/>
      <c r="U13" s="52">
        <v>0.36</v>
      </c>
    </row>
    <row r="14" spans="2:21" ht="12.75" customHeight="1" x14ac:dyDescent="0.2">
      <c r="B14" s="3" t="str">
        <f>"Валюта овердрафту:"</f>
        <v>Валюта овердрафту:</v>
      </c>
      <c r="J14" s="251" t="str">
        <f>"Дата кредитного договору:"</f>
        <v>Дата кредитного договору:</v>
      </c>
      <c r="K14" s="251"/>
      <c r="L14" s="251"/>
      <c r="N14" s="68"/>
      <c r="O14" s="39">
        <f ca="1">TODAY()</f>
        <v>44438</v>
      </c>
      <c r="Q14" s="3" t="s">
        <v>6</v>
      </c>
      <c r="R14" s="19"/>
      <c r="U14" s="53">
        <v>10000</v>
      </c>
    </row>
    <row r="15" spans="2:21" ht="3.75" customHeight="1" x14ac:dyDescent="0.2">
      <c r="J15" s="1"/>
      <c r="K15" s="68"/>
      <c r="L15" s="68"/>
      <c r="M15" s="68"/>
      <c r="N15" s="68"/>
      <c r="O15" s="70"/>
      <c r="R15" s="20"/>
      <c r="U15" s="53">
        <v>300000</v>
      </c>
    </row>
    <row r="16" spans="2:21" ht="12.75" customHeight="1" x14ac:dyDescent="0.2">
      <c r="B16" s="30"/>
      <c r="C16" s="30"/>
      <c r="D16" s="30"/>
      <c r="E16" s="30"/>
      <c r="F16" s="31"/>
      <c r="G16" s="31"/>
      <c r="H16" s="31"/>
      <c r="J16" s="251" t="str">
        <f>"Дата завершення овердрафту:"</f>
        <v>Дата завершення овердрафту:</v>
      </c>
      <c r="K16" s="251"/>
      <c r="L16" s="251"/>
      <c r="N16" s="68"/>
      <c r="O16" s="38">
        <f ca="1">IF(DAY($O$14)&gt;25,DATE(YEAR($O$14)+1,MONTH($O$14),DAY(25)),IF(DAY($O$14)=1,DATE(YEAR($O$14)+1,MONTH($O$14-1),DAY(25)),DATE(YEAR($O$14)+1,MONTH($O$14),DAY($O$14)-1)))</f>
        <v>44798</v>
      </c>
      <c r="P16" s="6" t="str">
        <f ca="1">IF($O$16&lt;=$O$14,"Невідповідність дат","")</f>
        <v/>
      </c>
      <c r="Q16" s="3" t="s">
        <v>10</v>
      </c>
      <c r="R16" s="20" t="str">
        <f ca="1">"Комерційний курс на " &amp; TEXT(NOW(),"ДД.ММ.ГГГГ") &amp; " р."</f>
        <v>Комерційний курс на ДД.ММ.ГГГГ р.</v>
      </c>
    </row>
    <row r="17" spans="1:27" ht="3.75" customHeight="1" x14ac:dyDescent="0.2">
      <c r="J17" s="1"/>
      <c r="K17" s="68"/>
      <c r="L17" s="68"/>
      <c r="M17" s="68"/>
      <c r="N17" s="68"/>
      <c r="O17" s="70"/>
      <c r="R17" s="20"/>
    </row>
    <row r="18" spans="1:27" ht="21.75" customHeight="1" x14ac:dyDescent="0.2">
      <c r="B18" s="252" t="s">
        <v>8</v>
      </c>
      <c r="C18" s="252"/>
      <c r="D18" s="252"/>
      <c r="E18" s="253"/>
      <c r="F18" s="27">
        <v>0</v>
      </c>
      <c r="G18" s="61"/>
      <c r="H18" s="61"/>
      <c r="J18" s="254" t="s">
        <v>7</v>
      </c>
      <c r="K18" s="254"/>
      <c r="L18" s="254"/>
      <c r="N18" s="69"/>
      <c r="O18" s="57">
        <v>12</v>
      </c>
      <c r="P18" s="34">
        <f ca="1">IF(DAY($O$14)=1,23,24)</f>
        <v>24</v>
      </c>
      <c r="Q18" s="18"/>
      <c r="R18" s="20"/>
    </row>
    <row r="19" spans="1:27" ht="12.75" customHeight="1" x14ac:dyDescent="0.2">
      <c r="B19" s="3" t="str">
        <f>"Процента ставка за кредитом"</f>
        <v>Процента ставка за кредитом</v>
      </c>
      <c r="F19" s="17">
        <v>0.36</v>
      </c>
      <c r="G19" s="62"/>
      <c r="H19" s="62"/>
      <c r="J19" s="251" t="str">
        <f>IF(OR($B$2=1,$B$2=2,$B$2=3,$B$2=4, $B$2=7),"Щомісячні платежі очікуються",IF(OR($B$2=5,$B$2=6),"Сплата процентів очікується"))</f>
        <v>Щомісячні платежі очікуються</v>
      </c>
      <c r="K19" s="251"/>
      <c r="L19" s="251"/>
      <c r="N19" s="68"/>
      <c r="O19" s="26">
        <v>25</v>
      </c>
      <c r="P19" s="3" t="str">
        <f>"числа кожного місяця"</f>
        <v>числа кожного місяця</v>
      </c>
      <c r="R19" s="19"/>
    </row>
    <row r="20" spans="1:27" ht="11.25" customHeight="1" x14ac:dyDescent="0.2">
      <c r="B20" s="3" t="s">
        <v>13</v>
      </c>
      <c r="F20" s="35">
        <v>9.9999999999999995E-7</v>
      </c>
      <c r="G20" s="63"/>
      <c r="H20" s="63"/>
      <c r="K20" s="7"/>
      <c r="L20" s="7"/>
      <c r="M20" s="7"/>
      <c r="N20" s="7"/>
      <c r="R20" s="20"/>
    </row>
    <row r="21" spans="1:27" ht="12" customHeight="1" x14ac:dyDescent="0.2">
      <c r="B21" s="3" t="str">
        <f>"Метод розрахунку процентів"</f>
        <v>Метод розрахунку процентів</v>
      </c>
      <c r="F21" s="15" t="str">
        <f>"факт/факт"</f>
        <v>факт/факт</v>
      </c>
      <c r="G21" s="64"/>
      <c r="H21" s="64"/>
      <c r="K21" s="7"/>
      <c r="L21" s="7"/>
      <c r="M21" s="7"/>
      <c r="N21" s="7"/>
      <c r="O21" s="2"/>
      <c r="P21" s="3" t="str">
        <f>IF(OR($J$2=3),"гривень","")</f>
        <v/>
      </c>
      <c r="R21" s="19"/>
    </row>
    <row r="22" spans="1:27" ht="20.25" customHeight="1" x14ac:dyDescent="0.2">
      <c r="B22" s="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K22" s="7"/>
      <c r="L22" s="7"/>
      <c r="M22" s="7"/>
      <c r="N22" s="7"/>
    </row>
    <row r="23" spans="1:27" ht="9" customHeight="1" x14ac:dyDescent="0.2">
      <c r="B23" s="246" t="s">
        <v>58</v>
      </c>
      <c r="C23" s="246"/>
      <c r="D23" s="246"/>
      <c r="E23" s="246"/>
      <c r="F23" s="246"/>
      <c r="G23" s="246"/>
      <c r="H23" s="246"/>
      <c r="I23" s="246"/>
      <c r="J23" s="246"/>
      <c r="K23" s="246"/>
      <c r="L23" s="246"/>
      <c r="M23" s="246"/>
      <c r="N23" s="246"/>
      <c r="O23" s="246"/>
      <c r="P23" s="246"/>
      <c r="Q23" s="246"/>
      <c r="R23" s="246"/>
      <c r="V23" s="7"/>
      <c r="W23" s="7"/>
      <c r="X23" s="2"/>
      <c r="Y23" s="7"/>
      <c r="Z23" s="7"/>
      <c r="AA23" s="7"/>
    </row>
    <row r="24" spans="1:27" ht="18.75" customHeight="1" x14ac:dyDescent="0.2">
      <c r="B24" s="246"/>
      <c r="C24" s="246"/>
      <c r="D24" s="246"/>
      <c r="E24" s="246"/>
      <c r="F24" s="246"/>
      <c r="G24" s="246"/>
      <c r="H24" s="246"/>
      <c r="I24" s="246"/>
      <c r="J24" s="246"/>
      <c r="K24" s="246"/>
      <c r="L24" s="246"/>
      <c r="M24" s="246"/>
      <c r="N24" s="246"/>
      <c r="O24" s="246"/>
      <c r="P24" s="246"/>
      <c r="Q24" s="246"/>
      <c r="R24" s="246"/>
      <c r="V24" s="7"/>
      <c r="W24" s="7"/>
      <c r="X24" s="2"/>
      <c r="Y24" s="7"/>
      <c r="Z24" s="7"/>
      <c r="AA24" s="7"/>
    </row>
    <row r="25" spans="1:27" ht="9.75" customHeight="1" x14ac:dyDescent="0.2">
      <c r="B25" s="3" t="s">
        <v>9</v>
      </c>
      <c r="F25" s="2"/>
      <c r="G25" s="2"/>
      <c r="H25" s="2"/>
      <c r="I25" s="2"/>
      <c r="R25" s="18"/>
      <c r="V25" s="7"/>
      <c r="W25" s="7"/>
      <c r="X25" s="7"/>
      <c r="Y25" s="7"/>
      <c r="Z25" s="7"/>
      <c r="AA25" s="7"/>
    </row>
    <row r="26" spans="1:27" x14ac:dyDescent="0.2">
      <c r="B26" s="3" t="s">
        <v>12</v>
      </c>
      <c r="F26" s="2"/>
      <c r="G26" s="2"/>
      <c r="H26" s="2"/>
      <c r="I26" s="2"/>
    </row>
    <row r="27" spans="1:27" ht="21.75" customHeight="1" x14ac:dyDescent="0.2">
      <c r="B27" s="247" t="s">
        <v>14</v>
      </c>
      <c r="C27" s="247"/>
      <c r="D27" s="247"/>
      <c r="E27" s="247"/>
      <c r="F27" s="247"/>
      <c r="G27" s="247"/>
      <c r="H27" s="247"/>
      <c r="I27" s="247"/>
      <c r="J27" s="247"/>
      <c r="K27" s="247"/>
      <c r="L27" s="247"/>
      <c r="M27" s="247"/>
      <c r="N27" s="247"/>
      <c r="O27" s="247"/>
      <c r="P27" s="247"/>
      <c r="Q27" s="247"/>
      <c r="R27" s="247"/>
    </row>
    <row r="28" spans="1:27" ht="11.25" customHeight="1" x14ac:dyDescent="0.2">
      <c r="B28" s="248" t="str">
        <f>IF(F19=25%,"","Комісія за видачу готівкових грошових коштів в установах та банкоматах  АБ  УКРГАЗБАНК від суми видачі готівки, якщо сума перевищує 1001 грн.")</f>
        <v>Комісія за видачу готівкових грошових коштів в установах та банкоматах  АБ  УКРГАЗБАНК від суми видачі готівки, якщо сума перевищує 1001 грн.</v>
      </c>
      <c r="C28" s="248"/>
      <c r="D28" s="248"/>
      <c r="E28" s="248"/>
      <c r="F28" s="248"/>
      <c r="G28" s="248"/>
      <c r="H28" s="248"/>
      <c r="I28" s="248"/>
      <c r="J28" s="248"/>
      <c r="K28" s="248"/>
      <c r="L28" s="248"/>
      <c r="M28" s="248"/>
      <c r="N28" s="248"/>
      <c r="O28" s="58">
        <v>0.04</v>
      </c>
      <c r="P28" s="59"/>
      <c r="Q28" s="58"/>
    </row>
    <row r="29" spans="1:27" ht="24" customHeight="1" x14ac:dyDescent="0.2">
      <c r="B29" s="249" t="s">
        <v>15</v>
      </c>
      <c r="C29" s="249"/>
      <c r="D29" s="249"/>
      <c r="E29" s="249"/>
      <c r="F29" s="249"/>
      <c r="G29" s="249"/>
      <c r="H29" s="249"/>
      <c r="I29" s="249"/>
      <c r="J29" s="249"/>
      <c r="K29" s="249"/>
      <c r="L29" s="249"/>
      <c r="M29" s="249"/>
      <c r="N29" s="249"/>
      <c r="O29" s="60">
        <v>7.0000000000000001E-3</v>
      </c>
      <c r="P29" s="59"/>
      <c r="Q29" s="60"/>
    </row>
    <row r="30" spans="1:27" ht="17.25" customHeight="1" x14ac:dyDescent="0.2">
      <c r="A30" s="250" t="s">
        <v>55</v>
      </c>
      <c r="B30" s="250"/>
      <c r="C30" s="250"/>
      <c r="D30" s="250"/>
      <c r="E30" s="250"/>
      <c r="F30" s="250"/>
      <c r="G30" s="250"/>
      <c r="H30" s="250"/>
      <c r="I30" s="250"/>
      <c r="J30" s="250"/>
      <c r="K30" s="250"/>
      <c r="L30" s="250"/>
      <c r="M30" s="250"/>
      <c r="N30" s="250"/>
      <c r="O30" s="250"/>
      <c r="P30" s="250"/>
      <c r="Q30" s="250"/>
      <c r="R30" s="250"/>
    </row>
    <row r="31" spans="1:27" ht="13.5" customHeight="1" x14ac:dyDescent="0.2">
      <c r="A31" s="237" t="s">
        <v>27</v>
      </c>
      <c r="B31" s="237" t="s">
        <v>33</v>
      </c>
      <c r="C31" s="237" t="s">
        <v>32</v>
      </c>
      <c r="D31" s="234" t="str">
        <f>"Чиста сума кредиту/cума платежу за розрахунковий період, " &amp; IF($D$2=3,"євро",IF($D$2=2, "доларів США","грн."))</f>
        <v>Чиста сума кредиту/cума платежу за розрахунковий період, грн.</v>
      </c>
      <c r="E31" s="244" t="s">
        <v>37</v>
      </c>
      <c r="F31" s="245"/>
      <c r="G31" s="245"/>
      <c r="H31" s="245"/>
      <c r="I31" s="245"/>
      <c r="J31" s="245"/>
      <c r="K31" s="245"/>
      <c r="L31" s="245"/>
      <c r="M31" s="245"/>
      <c r="N31" s="245"/>
      <c r="O31" s="245"/>
      <c r="P31" s="245"/>
      <c r="Q31" s="231" t="s">
        <v>52</v>
      </c>
      <c r="R31" s="234" t="s">
        <v>53</v>
      </c>
      <c r="S31" s="5" t="s">
        <v>2</v>
      </c>
      <c r="T31" s="5"/>
    </row>
    <row r="32" spans="1:27" ht="14.25" customHeight="1" x14ac:dyDescent="0.2">
      <c r="A32" s="238"/>
      <c r="B32" s="238"/>
      <c r="C32" s="238"/>
      <c r="D32" s="235"/>
      <c r="E32" s="237" t="s">
        <v>34</v>
      </c>
      <c r="F32" s="234" t="s">
        <v>36</v>
      </c>
      <c r="G32" s="240" t="s">
        <v>56</v>
      </c>
      <c r="H32" s="241"/>
      <c r="I32" s="241"/>
      <c r="J32" s="241"/>
      <c r="K32" s="241"/>
      <c r="L32" s="241"/>
      <c r="M32" s="241"/>
      <c r="N32" s="241"/>
      <c r="O32" s="241"/>
      <c r="P32" s="241"/>
      <c r="Q32" s="232"/>
      <c r="R32" s="235"/>
      <c r="S32" s="7"/>
    </row>
    <row r="33" spans="1:21" ht="13.5" customHeight="1" x14ac:dyDescent="0.2">
      <c r="A33" s="238"/>
      <c r="B33" s="238"/>
      <c r="C33" s="238"/>
      <c r="D33" s="235"/>
      <c r="E33" s="238"/>
      <c r="F33" s="235"/>
      <c r="G33" s="242" t="s">
        <v>17</v>
      </c>
      <c r="H33" s="243"/>
      <c r="I33" s="243"/>
      <c r="J33" s="243"/>
      <c r="K33" s="242" t="s">
        <v>19</v>
      </c>
      <c r="L33" s="243"/>
      <c r="M33" s="242" t="s">
        <v>22</v>
      </c>
      <c r="N33" s="243"/>
      <c r="O33" s="243"/>
      <c r="P33" s="243"/>
      <c r="Q33" s="232"/>
      <c r="R33" s="235"/>
      <c r="S33" s="7"/>
    </row>
    <row r="34" spans="1:21" ht="36.75" customHeight="1" x14ac:dyDescent="0.2">
      <c r="A34" s="239"/>
      <c r="B34" s="239"/>
      <c r="C34" s="239"/>
      <c r="D34" s="236"/>
      <c r="E34" s="239"/>
      <c r="F34" s="236"/>
      <c r="G34" s="86" t="s">
        <v>18</v>
      </c>
      <c r="H34" s="10" t="s">
        <v>0</v>
      </c>
      <c r="I34" s="40" t="s">
        <v>57</v>
      </c>
      <c r="J34" s="71" t="s">
        <v>41</v>
      </c>
      <c r="K34" s="87" t="s">
        <v>20</v>
      </c>
      <c r="L34" s="87" t="s">
        <v>21</v>
      </c>
      <c r="M34" s="72" t="s">
        <v>23</v>
      </c>
      <c r="N34" s="72" t="s">
        <v>24</v>
      </c>
      <c r="O34" s="72" t="s">
        <v>25</v>
      </c>
      <c r="P34" s="65" t="s">
        <v>48</v>
      </c>
      <c r="Q34" s="233"/>
      <c r="R34" s="236"/>
      <c r="S34" s="7"/>
    </row>
    <row r="35" spans="1:21" ht="11.25" customHeight="1" x14ac:dyDescent="0.2">
      <c r="A35" s="225">
        <v>1</v>
      </c>
      <c r="B35" s="225" t="s">
        <v>28</v>
      </c>
      <c r="C35" s="229" t="s">
        <v>29</v>
      </c>
      <c r="D35" s="225" t="s">
        <v>30</v>
      </c>
      <c r="E35" s="229" t="s">
        <v>31</v>
      </c>
      <c r="F35" s="225" t="s">
        <v>35</v>
      </c>
      <c r="G35" s="227" t="s">
        <v>26</v>
      </c>
      <c r="H35" s="227" t="s">
        <v>38</v>
      </c>
      <c r="I35" s="227" t="s">
        <v>39</v>
      </c>
      <c r="J35" s="227" t="s">
        <v>40</v>
      </c>
      <c r="K35" s="227" t="s">
        <v>42</v>
      </c>
      <c r="L35" s="227" t="s">
        <v>43</v>
      </c>
      <c r="M35" s="227" t="s">
        <v>44</v>
      </c>
      <c r="N35" s="227" t="s">
        <v>45</v>
      </c>
      <c r="O35" s="227" t="s">
        <v>46</v>
      </c>
      <c r="P35" s="227" t="s">
        <v>47</v>
      </c>
      <c r="Q35" s="11" t="s">
        <v>50</v>
      </c>
      <c r="R35" s="11" t="s">
        <v>51</v>
      </c>
    </row>
    <row r="36" spans="1:21" ht="11.25" customHeight="1" x14ac:dyDescent="0.2">
      <c r="A36" s="226"/>
      <c r="B36" s="226"/>
      <c r="C36" s="230"/>
      <c r="D36" s="226"/>
      <c r="E36" s="230"/>
      <c r="F36" s="226"/>
      <c r="G36" s="228"/>
      <c r="H36" s="228"/>
      <c r="I36" s="228"/>
      <c r="J36" s="228"/>
      <c r="K36" s="228"/>
      <c r="L36" s="228"/>
      <c r="M36" s="228"/>
      <c r="N36" s="228"/>
      <c r="O36" s="228"/>
      <c r="P36" s="228"/>
      <c r="Q36" s="12"/>
      <c r="R36" s="12"/>
    </row>
    <row r="37" spans="1:21" s="51" customFormat="1" ht="13.5" customHeight="1" x14ac:dyDescent="0.2">
      <c r="A37" s="44">
        <v>1</v>
      </c>
      <c r="B37" s="46">
        <f ca="1">DATE(YEAR($O$14),MONTH($O$14),DAY($O$14))</f>
        <v>44438</v>
      </c>
      <c r="C37" s="81" t="s">
        <v>1</v>
      </c>
      <c r="D37" s="43">
        <f>E37+SUM(G37:P37)</f>
        <v>-9600</v>
      </c>
      <c r="E37" s="45">
        <f>-O12</f>
        <v>-10000</v>
      </c>
      <c r="F37" s="44" t="s">
        <v>1</v>
      </c>
      <c r="G37" s="43">
        <v>0</v>
      </c>
      <c r="H37" s="43">
        <v>0</v>
      </c>
      <c r="I37" s="43">
        <v>0</v>
      </c>
      <c r="J37" s="45">
        <f>IF($B$2=1,$O$12*$O$28,0)</f>
        <v>400</v>
      </c>
      <c r="K37" s="43">
        <v>0</v>
      </c>
      <c r="L37" s="45">
        <v>0</v>
      </c>
      <c r="M37" s="45">
        <v>0</v>
      </c>
      <c r="N37" s="45">
        <v>0</v>
      </c>
      <c r="O37" s="43" t="s">
        <v>16</v>
      </c>
      <c r="P37" s="45">
        <v>0</v>
      </c>
      <c r="Q37" s="74" t="str">
        <f ca="1">IF(OR($B48="Усього",$B48=""),"",IF($S37=0,XIRR(D36:D$37,B36:B$37,0.2),"Х"))</f>
        <v>Х</v>
      </c>
      <c r="R37" s="44" t="s">
        <v>1</v>
      </c>
      <c r="S37" s="49">
        <f>-E37</f>
        <v>10000</v>
      </c>
      <c r="T37" s="50"/>
      <c r="U37" s="54"/>
    </row>
    <row r="38" spans="1:21" x14ac:dyDescent="0.2">
      <c r="A38" s="44">
        <v>2</v>
      </c>
      <c r="B38" s="41">
        <f t="shared" ref="B38:B48" ca="1" si="0">DATE(YEAR(B37),MONTH(B37)+1,DAY($O$19))</f>
        <v>44464</v>
      </c>
      <c r="C38" s="88">
        <f t="shared" ref="C38:C48" ca="1" si="1">B38-B37</f>
        <v>26</v>
      </c>
      <c r="D38" s="43">
        <f ca="1">IF($S37=0,SUM(D37:D$38),SUM(E38:P38))</f>
        <v>770.00000000000011</v>
      </c>
      <c r="E38" s="45">
        <f>-E37*7%</f>
        <v>700.00000000000011</v>
      </c>
      <c r="F38" s="43">
        <f ca="1">IF(B38-B37&lt;30,0,(S37*($F$19))*((B38-B37)-30)/(DATE(YEAR(B38)+1,1,1)-DATE(YEAR(B38),1,1)))</f>
        <v>0</v>
      </c>
      <c r="G38" s="43">
        <v>0</v>
      </c>
      <c r="H38" s="43">
        <v>0</v>
      </c>
      <c r="I38" s="43">
        <v>0</v>
      </c>
      <c r="J38" s="43">
        <f ca="1">IF(OR($B37="Усього",$B37=""),"",IF($S37=0,SUM(J$37:J37),0))</f>
        <v>0</v>
      </c>
      <c r="K38" s="43">
        <v>0</v>
      </c>
      <c r="L38" s="45">
        <v>0</v>
      </c>
      <c r="M38" s="45">
        <v>0</v>
      </c>
      <c r="N38" s="45">
        <v>0</v>
      </c>
      <c r="O38" s="43">
        <f>S37*O29</f>
        <v>70</v>
      </c>
      <c r="P38" s="45">
        <v>0</v>
      </c>
      <c r="Q38" s="8" t="str">
        <f>IF($O$12&lt;=0,0,IF($S37=0,0,"Х"))</f>
        <v>Х</v>
      </c>
      <c r="R38" s="9" t="str">
        <f t="shared" ref="R38:R48" ca="1" si="2">IF(OR($B37="Усього",$B37=""),"",IF($S37=0,SUM(F38:P38),"Х"))</f>
        <v>Х</v>
      </c>
      <c r="S38" s="4">
        <f t="shared" ref="S38:S49" ca="1" si="3">IF($S37=0,"",IF(DATE(YEAR(B37),MONTH(B37)+1,DAY($O$18))&gt;$O$16,0,S37-E38))</f>
        <v>9300</v>
      </c>
      <c r="T38" s="29" t="str">
        <f t="shared" ref="T38:T48" ca="1" si="4">IF(AND(B38&lt;=B37,B38&lt;&gt;""),"Невідповідність дат","")</f>
        <v/>
      </c>
    </row>
    <row r="39" spans="1:21" x14ac:dyDescent="0.2">
      <c r="A39" s="44">
        <v>3</v>
      </c>
      <c r="B39" s="41">
        <f t="shared" ca="1" si="0"/>
        <v>44494</v>
      </c>
      <c r="C39" s="88">
        <f t="shared" ca="1" si="1"/>
        <v>30</v>
      </c>
      <c r="D39" s="43">
        <f ca="1">IF($S38=0,SUM(D38:D$38),SUM(E39:P39))</f>
        <v>954.58767123287691</v>
      </c>
      <c r="E39" s="45">
        <f ca="1">S38*7%</f>
        <v>651.00000000000011</v>
      </c>
      <c r="F39" s="45">
        <f ca="1">IF(B39-B37&lt;30,0,(S38*($F$19))*((B39-B37)-30)/(DATE(YEAR(B38)+1,1,1)-DATE(YEAR(B38),1,1))-F38)</f>
        <v>238.48767123287672</v>
      </c>
      <c r="G39" s="43">
        <v>0</v>
      </c>
      <c r="H39" s="43">
        <v>0</v>
      </c>
      <c r="I39" s="43">
        <v>0</v>
      </c>
      <c r="J39" s="43">
        <f ca="1">IF(OR($B38="Усього",$B38=""),"",IF($S38=0,SUM(J$37:J38),0))</f>
        <v>0</v>
      </c>
      <c r="K39" s="43">
        <v>0</v>
      </c>
      <c r="L39" s="45">
        <v>0</v>
      </c>
      <c r="M39" s="45">
        <v>0</v>
      </c>
      <c r="N39" s="45">
        <v>0</v>
      </c>
      <c r="O39" s="43">
        <f ca="1">S38*O29</f>
        <v>65.099999999999994</v>
      </c>
      <c r="P39" s="45">
        <v>0</v>
      </c>
      <c r="Q39" s="8" t="str">
        <f ca="1">IF(OR($B38="Усього",$B38=""),"",IF($S38=0,XIRR(D$37:D38,B$37:B38,0.2),"Х"))</f>
        <v>Х</v>
      </c>
      <c r="R39" s="9" t="str">
        <f t="shared" ca="1" si="2"/>
        <v>Х</v>
      </c>
      <c r="S39" s="4">
        <f t="shared" ca="1" si="3"/>
        <v>8649</v>
      </c>
      <c r="T39" s="29" t="str">
        <f t="shared" ca="1" si="4"/>
        <v/>
      </c>
    </row>
    <row r="40" spans="1:21" ht="14.25" customHeight="1" x14ac:dyDescent="0.2">
      <c r="A40" s="44">
        <v>4</v>
      </c>
      <c r="B40" s="41">
        <f t="shared" ca="1" si="0"/>
        <v>44525</v>
      </c>
      <c r="C40" s="88">
        <f t="shared" ca="1" si="1"/>
        <v>31</v>
      </c>
      <c r="D40" s="43">
        <f ca="1">IF($S39=0,SUM(D$38:D39),SUM(E40:P40))</f>
        <v>930.4191369863014</v>
      </c>
      <c r="E40" s="45">
        <f t="shared" ref="E40:E47" ca="1" si="5">S39*7%</f>
        <v>605.43000000000006</v>
      </c>
      <c r="F40" s="43">
        <f ca="1">IF(OR($B39="Усього",$B39=""),"",IF($S39=0,SUM(F$38:F40),S39*($F$19)*(B40-B39)/(DATE(YEAR(B38)+1,1,1)-DATE(YEAR(B38),1,1))))</f>
        <v>264.44613698630138</v>
      </c>
      <c r="G40" s="43">
        <v>0</v>
      </c>
      <c r="H40" s="43">
        <v>0</v>
      </c>
      <c r="I40" s="43">
        <v>0</v>
      </c>
      <c r="J40" s="43">
        <f ca="1">IF(OR($B39="Усього",$B39=""),"",IF($S39=0,SUM(J$37:J39),0))</f>
        <v>0</v>
      </c>
      <c r="K40" s="43">
        <v>0</v>
      </c>
      <c r="L40" s="45">
        <v>0</v>
      </c>
      <c r="M40" s="45">
        <v>0</v>
      </c>
      <c r="N40" s="45">
        <v>0</v>
      </c>
      <c r="O40" s="43">
        <f ca="1">S39*O29</f>
        <v>60.542999999999999</v>
      </c>
      <c r="P40" s="45">
        <v>0</v>
      </c>
      <c r="Q40" s="8" t="str">
        <f ca="1">IF(OR($B39="Усього",$B39=""),"",IF($S39=0,XIRR(D$37:D39,B$37:B39,0.2),"Х"))</f>
        <v>Х</v>
      </c>
      <c r="R40" s="9" t="str">
        <f t="shared" ca="1" si="2"/>
        <v>Х</v>
      </c>
      <c r="S40" s="4">
        <f t="shared" ca="1" si="3"/>
        <v>8043.57</v>
      </c>
      <c r="T40" s="29" t="str">
        <f t="shared" ca="1" si="4"/>
        <v/>
      </c>
    </row>
    <row r="41" spans="1:21" x14ac:dyDescent="0.2">
      <c r="A41" s="44">
        <v>5</v>
      </c>
      <c r="B41" s="41">
        <f t="shared" ca="1" si="0"/>
        <v>44555</v>
      </c>
      <c r="C41" s="88">
        <f t="shared" ca="1" si="1"/>
        <v>30</v>
      </c>
      <c r="D41" s="43">
        <f ca="1">IF($S40=0,SUM(D$38:D40),SUM(E41:P41))</f>
        <v>857.35641328767122</v>
      </c>
      <c r="E41" s="45">
        <f t="shared" ca="1" si="5"/>
        <v>563.04989999999998</v>
      </c>
      <c r="F41" s="43">
        <f ca="1">IF(OR($B40="Усього",$B40=""),"",IF($S40=0,SUM(F$38:F41),S40*($F$19)*(B41-B40)/(DATE(YEAR(B39)+1,1,1)-DATE(YEAR(B39),1,1))))</f>
        <v>238.00152328767123</v>
      </c>
      <c r="G41" s="43">
        <v>0</v>
      </c>
      <c r="H41" s="43">
        <v>0</v>
      </c>
      <c r="I41" s="43">
        <v>0</v>
      </c>
      <c r="J41" s="43">
        <f ca="1">IF(OR($B40="Усього",$B40=""),"",IF($S40=0,SUM(J$37:J40),0))</f>
        <v>0</v>
      </c>
      <c r="K41" s="43">
        <v>0</v>
      </c>
      <c r="L41" s="45">
        <v>0</v>
      </c>
      <c r="M41" s="45">
        <v>0</v>
      </c>
      <c r="N41" s="45">
        <v>0</v>
      </c>
      <c r="O41" s="43">
        <f ca="1">S40*O29</f>
        <v>56.304989999999997</v>
      </c>
      <c r="P41" s="45">
        <v>0</v>
      </c>
      <c r="Q41" s="8" t="str">
        <f ca="1">IF(OR($B40="Усього",$B40=""),"",IF($S40=0,XIRR(D$37:D40,B$37:B40,0.2),"Х"))</f>
        <v>Х</v>
      </c>
      <c r="R41" s="9" t="str">
        <f t="shared" ca="1" si="2"/>
        <v>Х</v>
      </c>
      <c r="S41" s="4">
        <f t="shared" ca="1" si="3"/>
        <v>7480.5200999999997</v>
      </c>
      <c r="T41" s="29" t="str">
        <f t="shared" ca="1" si="4"/>
        <v/>
      </c>
    </row>
    <row r="42" spans="1:21" x14ac:dyDescent="0.2">
      <c r="A42" s="44">
        <v>6</v>
      </c>
      <c r="B42" s="41">
        <f t="shared" ca="1" si="0"/>
        <v>44586</v>
      </c>
      <c r="C42" s="88">
        <f t="shared" ca="1" si="1"/>
        <v>31</v>
      </c>
      <c r="D42" s="43">
        <f ca="1">IF($S41=0,SUM(D$38:D41),SUM(E42:P42))</f>
        <v>804.71951157945216</v>
      </c>
      <c r="E42" s="45">
        <f t="shared" ca="1" si="5"/>
        <v>523.63640700000008</v>
      </c>
      <c r="F42" s="43">
        <f ca="1">IF(OR($B41="Усього",$B41=""),"",IF($S41=0,SUM(F$38:F42),S41*($F$19)*(B42-B41)/(DATE(YEAR(B40)+1,1,1)-DATE(YEAR(B40),1,1))))</f>
        <v>228.71946387945204</v>
      </c>
      <c r="G42" s="43">
        <v>0</v>
      </c>
      <c r="H42" s="43">
        <v>0</v>
      </c>
      <c r="I42" s="43">
        <v>0</v>
      </c>
      <c r="J42" s="43">
        <f ca="1">IF(OR($B41="Усього",$B41=""),"",IF($S41=0,SUM(J$37:J41),0))</f>
        <v>0</v>
      </c>
      <c r="K42" s="43">
        <v>0</v>
      </c>
      <c r="L42" s="45">
        <v>0</v>
      </c>
      <c r="M42" s="45">
        <v>0</v>
      </c>
      <c r="N42" s="45">
        <v>0</v>
      </c>
      <c r="O42" s="43">
        <f ca="1">S41*O29</f>
        <v>52.363640699999998</v>
      </c>
      <c r="P42" s="45">
        <v>0</v>
      </c>
      <c r="Q42" s="8" t="str">
        <f ca="1">IF(OR($B41="Усього",$B41=""),"",IF($S41=0,XIRR(D$37:D41,B$37:B41,0.2),"Х"))</f>
        <v>Х</v>
      </c>
      <c r="R42" s="9" t="str">
        <f t="shared" ca="1" si="2"/>
        <v>Х</v>
      </c>
      <c r="S42" s="4">
        <f t="shared" ca="1" si="3"/>
        <v>6956.8836929999998</v>
      </c>
      <c r="T42" s="29" t="str">
        <f t="shared" ca="1" si="4"/>
        <v/>
      </c>
    </row>
    <row r="43" spans="1:21" x14ac:dyDescent="0.2">
      <c r="A43" s="44">
        <v>7</v>
      </c>
      <c r="B43" s="41">
        <f t="shared" ca="1" si="0"/>
        <v>44617</v>
      </c>
      <c r="C43" s="88">
        <f t="shared" ca="1" si="1"/>
        <v>31</v>
      </c>
      <c r="D43" s="43">
        <f ca="1">IF($S42=0,SUM(D$38:D42),SUM(E43:P43))</f>
        <v>748.38914576889044</v>
      </c>
      <c r="E43" s="45">
        <f ca="1">S42*7%</f>
        <v>486.98185851000005</v>
      </c>
      <c r="F43" s="43">
        <f ca="1">IF(OR($B42="Усього",$B42=""),"",IF($S42=0,SUM(F$38:F43),S42*($F$19)*(B43-B42)/(DATE(YEAR(B41)+1,1,1)-DATE(YEAR(B41),1,1))))</f>
        <v>212.70910140789039</v>
      </c>
      <c r="G43" s="43">
        <v>0</v>
      </c>
      <c r="H43" s="43">
        <v>0</v>
      </c>
      <c r="I43" s="43">
        <v>0</v>
      </c>
      <c r="J43" s="43">
        <f ca="1">IF(OR($B42="Усього",$B42=""),"",IF($S42=0,SUM(J$37:J42),0))</f>
        <v>0</v>
      </c>
      <c r="K43" s="43">
        <v>0</v>
      </c>
      <c r="L43" s="45">
        <v>0</v>
      </c>
      <c r="M43" s="45">
        <v>0</v>
      </c>
      <c r="N43" s="45">
        <v>0</v>
      </c>
      <c r="O43" s="43">
        <f ca="1">S42*O29</f>
        <v>48.698185850999998</v>
      </c>
      <c r="P43" s="45">
        <v>0</v>
      </c>
      <c r="Q43" s="8" t="str">
        <f ca="1">IF(OR($B42="Усього",$B42=""),"",IF($S42=0,XIRR(D$37:D42,B$37:B42,0.2),"Х"))</f>
        <v>Х</v>
      </c>
      <c r="R43" s="9" t="str">
        <f t="shared" ca="1" si="2"/>
        <v>Х</v>
      </c>
      <c r="S43" s="4">
        <f t="shared" ca="1" si="3"/>
        <v>6469.9018344899996</v>
      </c>
      <c r="T43" s="29" t="str">
        <f t="shared" ca="1" si="4"/>
        <v/>
      </c>
      <c r="U43" s="53"/>
    </row>
    <row r="44" spans="1:21" x14ac:dyDescent="0.2">
      <c r="A44" s="44">
        <v>8</v>
      </c>
      <c r="B44" s="41">
        <f t="shared" ca="1" si="0"/>
        <v>44645</v>
      </c>
      <c r="C44" s="88">
        <f t="shared" ca="1" si="1"/>
        <v>28</v>
      </c>
      <c r="D44" s="43">
        <f ca="1">IF($S43=0,SUM(D$38:D43),SUM(E44:P44))</f>
        <v>676.85808643835799</v>
      </c>
      <c r="E44" s="45">
        <f t="shared" ca="1" si="5"/>
        <v>452.89312841430001</v>
      </c>
      <c r="F44" s="43">
        <f ca="1">IF(OR($B43="Усього",$B43=""),"",IF($S43=0,SUM(F$38:F44),S43*($F$19)*(B44-B43)/(DATE(YEAR(B42)+1,1,1)-DATE(YEAR(B42),1,1))))</f>
        <v>178.67564518262793</v>
      </c>
      <c r="G44" s="43">
        <v>0</v>
      </c>
      <c r="H44" s="43">
        <v>0</v>
      </c>
      <c r="I44" s="43">
        <v>0</v>
      </c>
      <c r="J44" s="43">
        <f ca="1">IF(OR($B43="Усього",$B43=""),"",IF($S43=0,SUM(J$37:J43),0))</f>
        <v>0</v>
      </c>
      <c r="K44" s="43">
        <v>0</v>
      </c>
      <c r="L44" s="45">
        <v>0</v>
      </c>
      <c r="M44" s="45">
        <v>0</v>
      </c>
      <c r="N44" s="45">
        <v>0</v>
      </c>
      <c r="O44" s="43">
        <f ca="1">S43*O29</f>
        <v>45.289312841429997</v>
      </c>
      <c r="P44" s="45">
        <v>0</v>
      </c>
      <c r="Q44" s="8" t="str">
        <f ca="1">IF(OR($B43="Усього",$B43=""),"",IF($S43=0,XIRR(D$37:D43,B$37:B43,0.2),"Х"))</f>
        <v>Х</v>
      </c>
      <c r="R44" s="9" t="str">
        <f t="shared" ca="1" si="2"/>
        <v>Х</v>
      </c>
      <c r="S44" s="4">
        <f t="shared" ca="1" si="3"/>
        <v>6017.0087060756996</v>
      </c>
      <c r="T44" s="29" t="str">
        <f t="shared" ca="1" si="4"/>
        <v/>
      </c>
    </row>
    <row r="45" spans="1:21" x14ac:dyDescent="0.2">
      <c r="A45" s="44">
        <v>9</v>
      </c>
      <c r="B45" s="41">
        <f t="shared" ca="1" si="0"/>
        <v>44676</v>
      </c>
      <c r="C45" s="88">
        <f t="shared" ca="1" si="1"/>
        <v>31</v>
      </c>
      <c r="D45" s="43">
        <f ca="1">IF($S44=0,SUM(D$38:D44),SUM(E45:P45))</f>
        <v>647.28177217551331</v>
      </c>
      <c r="E45" s="45">
        <f t="shared" ca="1" si="5"/>
        <v>421.19060942529899</v>
      </c>
      <c r="F45" s="43">
        <f ca="1">IF(OR($B44="Усього",$B44=""),"",IF($S44=0,SUM(F$38:F45),S44*($F$19)*(B45-B44)/(DATE(YEAR(B43)+1,1,1)-DATE(YEAR(B43),1,1))))</f>
        <v>183.9721018076844</v>
      </c>
      <c r="G45" s="43">
        <v>0</v>
      </c>
      <c r="H45" s="43">
        <v>0</v>
      </c>
      <c r="I45" s="43">
        <v>0</v>
      </c>
      <c r="J45" s="43">
        <f ca="1">IF(OR($B44="Усього",$B44=""),"",IF($S44=0,SUM(J$37:J44),0))</f>
        <v>0</v>
      </c>
      <c r="K45" s="43">
        <v>0</v>
      </c>
      <c r="L45" s="45">
        <v>0</v>
      </c>
      <c r="M45" s="45">
        <v>0</v>
      </c>
      <c r="N45" s="45">
        <v>0</v>
      </c>
      <c r="O45" s="43">
        <f ca="1">S44*O29</f>
        <v>42.119060942529899</v>
      </c>
      <c r="P45" s="45">
        <v>0</v>
      </c>
      <c r="Q45" s="8" t="str">
        <f ca="1">IF(OR($B44="Усього",$B44=""),"",IF($S44=0,XIRR(D$37:D44,B$37:B44,0.2),"Х"))</f>
        <v>Х</v>
      </c>
      <c r="R45" s="9" t="str">
        <f t="shared" ca="1" si="2"/>
        <v>Х</v>
      </c>
      <c r="S45" s="4">
        <f t="shared" ca="1" si="3"/>
        <v>5595.8180966504005</v>
      </c>
      <c r="T45" s="29" t="str">
        <f t="shared" ca="1" si="4"/>
        <v/>
      </c>
    </row>
    <row r="46" spans="1:21" x14ac:dyDescent="0.2">
      <c r="A46" s="44">
        <v>10</v>
      </c>
      <c r="B46" s="41">
        <f t="shared" ca="1" si="0"/>
        <v>44706</v>
      </c>
      <c r="C46" s="88">
        <f t="shared" ca="1" si="1"/>
        <v>30</v>
      </c>
      <c r="D46" s="43">
        <f ca="1">IF($S45=0,SUM(D$38:D45),SUM(E46:P46))</f>
        <v>596.45288506899681</v>
      </c>
      <c r="E46" s="45">
        <f t="shared" ca="1" si="5"/>
        <v>391.70726676552806</v>
      </c>
      <c r="F46" s="43">
        <f ca="1">IF(OR($B45="Усього",$B45=""),"",IF($S45=0,SUM(F$38:F46),S45*($F$19)*(B46-B45)/(DATE(YEAR(B44)+1,1,1)-DATE(YEAR(B44),1,1))))</f>
        <v>165.57489162691596</v>
      </c>
      <c r="G46" s="43">
        <v>0</v>
      </c>
      <c r="H46" s="43">
        <v>0</v>
      </c>
      <c r="I46" s="43">
        <v>0</v>
      </c>
      <c r="J46" s="43">
        <f ca="1">IF(OR($B45="Усього",$B45=""),"",IF($S45=0,SUM(J$37:J45),0))</f>
        <v>0</v>
      </c>
      <c r="K46" s="43">
        <v>0</v>
      </c>
      <c r="L46" s="45">
        <v>0</v>
      </c>
      <c r="M46" s="45">
        <v>0</v>
      </c>
      <c r="N46" s="45">
        <v>0</v>
      </c>
      <c r="O46" s="43">
        <f ca="1">S45*O29</f>
        <v>39.170726676552803</v>
      </c>
      <c r="P46" s="45">
        <v>0</v>
      </c>
      <c r="Q46" s="8" t="str">
        <f ca="1">IF(OR($B45="Усього",$B45=""),"",IF($S45=0,XIRR(D$37:D45,B$37:B45,0.2),"Х"))</f>
        <v>Х</v>
      </c>
      <c r="R46" s="9" t="str">
        <f t="shared" ca="1" si="2"/>
        <v>Х</v>
      </c>
      <c r="S46" s="4">
        <f t="shared" ca="1" si="3"/>
        <v>5204.1108298848721</v>
      </c>
      <c r="T46" s="29" t="str">
        <f t="shared" ca="1" si="4"/>
        <v/>
      </c>
    </row>
    <row r="47" spans="1:21" x14ac:dyDescent="0.2">
      <c r="A47" s="44">
        <v>11</v>
      </c>
      <c r="B47" s="41">
        <f t="shared" ca="1" si="0"/>
        <v>44737</v>
      </c>
      <c r="C47" s="88">
        <f t="shared" ca="1" si="1"/>
        <v>31</v>
      </c>
      <c r="D47" s="43">
        <f ca="1">IF($S46=0,SUM(D$38:D46),SUM(E47:P47))</f>
        <v>559.83400475460144</v>
      </c>
      <c r="E47" s="45">
        <f t="shared" ca="1" si="5"/>
        <v>364.2877580919411</v>
      </c>
      <c r="F47" s="43">
        <f ca="1">IF(OR($B46="Усього",$B46=""),"",IF($S46=0,SUM(F$38:F47),S46*($F$19)*(B47-B46)/(DATE(YEAR(B45)+1,1,1)-DATE(YEAR(B45),1,1))))</f>
        <v>159.11747085346622</v>
      </c>
      <c r="G47" s="43">
        <v>0</v>
      </c>
      <c r="H47" s="43">
        <v>0</v>
      </c>
      <c r="I47" s="43">
        <v>0</v>
      </c>
      <c r="J47" s="43">
        <f ca="1">IF(OR($B46="Усього",$B46=""),"",IF($S46=0,SUM(J$37:J46),0))</f>
        <v>0</v>
      </c>
      <c r="K47" s="43">
        <v>0</v>
      </c>
      <c r="L47" s="45">
        <v>0</v>
      </c>
      <c r="M47" s="45">
        <v>0</v>
      </c>
      <c r="N47" s="45">
        <v>0</v>
      </c>
      <c r="O47" s="43">
        <f ca="1">S46*O29</f>
        <v>36.428775809194107</v>
      </c>
      <c r="P47" s="45">
        <v>0</v>
      </c>
      <c r="Q47" s="8" t="str">
        <f ca="1">IF(OR($B46="Усього",$B46=""),"",IF($S46=0,XIRR(D$37:D46,B$37:B46,0.2),"Х"))</f>
        <v>Х</v>
      </c>
      <c r="R47" s="9" t="str">
        <f t="shared" ca="1" si="2"/>
        <v>Х</v>
      </c>
      <c r="S47" s="4">
        <f t="shared" ca="1" si="3"/>
        <v>4839.8230717929309</v>
      </c>
      <c r="T47" s="29" t="str">
        <f t="shared" ca="1" si="4"/>
        <v/>
      </c>
    </row>
    <row r="48" spans="1:21" x14ac:dyDescent="0.2">
      <c r="A48" s="44">
        <v>12</v>
      </c>
      <c r="B48" s="41">
        <f t="shared" ca="1" si="0"/>
        <v>44767</v>
      </c>
      <c r="C48" s="88">
        <f t="shared" ca="1" si="1"/>
        <v>30</v>
      </c>
      <c r="D48" s="43">
        <f ca="1">IF($S47=0,SUM(D$38:D47),SUM(E48:P48))</f>
        <v>515.8721002961754</v>
      </c>
      <c r="E48" s="43">
        <f ca="1">IF(B48=$O$16,S47,S47*7%)</f>
        <v>338.7876150255052</v>
      </c>
      <c r="F48" s="43">
        <f ca="1">IF(OR($B47="Усього",$B47=""),"",IF($S47=0,SUM(F$38:F48),S47*($F$19)*(B48-B47)/(DATE(YEAR(B46)+1,1,1)-DATE(YEAR(B46),1,1))))</f>
        <v>143.20572376811961</v>
      </c>
      <c r="G48" s="43">
        <v>0</v>
      </c>
      <c r="H48" s="43">
        <v>0</v>
      </c>
      <c r="I48" s="43">
        <v>0</v>
      </c>
      <c r="J48" s="43">
        <f ca="1">IF(OR($B47="Усього",$B47=""),"",IF($S47=0,SUM(J$37:J47),0))</f>
        <v>0</v>
      </c>
      <c r="K48" s="43">
        <v>0</v>
      </c>
      <c r="L48" s="45">
        <v>0</v>
      </c>
      <c r="M48" s="45">
        <v>0</v>
      </c>
      <c r="N48" s="45">
        <v>0</v>
      </c>
      <c r="O48" s="43">
        <f ca="1">S47*O29</f>
        <v>33.878761502550518</v>
      </c>
      <c r="P48" s="45">
        <v>0</v>
      </c>
      <c r="Q48" s="8" t="str">
        <f ca="1">IF(OR($B47="Усього",$B47=""),"",IF($S47=0,XIRR(D$37:D47,B$37:B47,0.2),"Х"))</f>
        <v>Х</v>
      </c>
      <c r="R48" s="9" t="str">
        <f t="shared" ca="1" si="2"/>
        <v>Х</v>
      </c>
      <c r="S48" s="4">
        <f t="shared" ca="1" si="3"/>
        <v>4501.0354567674258</v>
      </c>
      <c r="T48" s="29" t="str">
        <f t="shared" ca="1" si="4"/>
        <v/>
      </c>
    </row>
    <row r="49" spans="1:23" s="79" customFormat="1" x14ac:dyDescent="0.2">
      <c r="A49" s="73" t="str">
        <f ca="1">IF(DAY($O$14)=1,"","13")</f>
        <v>13</v>
      </c>
      <c r="B49" s="73">
        <f ca="1">IF(DAY($O$14)=1,"Усього",O16)</f>
        <v>44798</v>
      </c>
      <c r="C49" s="88">
        <f ca="1">IF(DAY($O$14)=1,"",B49-B48)</f>
        <v>31</v>
      </c>
      <c r="D49" s="45">
        <f ca="1">IF($S48=0,SUM(D$38:D48),SUM(E49:P49))</f>
        <v>4670.1634055059612</v>
      </c>
      <c r="E49" s="45">
        <f ca="1">IF($S48=0,SUM($E$38:$E48),S48)</f>
        <v>4501.0354567674258</v>
      </c>
      <c r="F49" s="45">
        <f ca="1">IF($S48=0,SUM(F$38:F48),S48*($F19)*(B49-B48)/(DATE(YEAR(B47)+1,1,1)-DATE(YEAR(B47),1,1)))</f>
        <v>137.62070054116293</v>
      </c>
      <c r="G49" s="45">
        <f ca="1">IF(OR($B48="Усього",$B48=""),"",IF($S48=0,SUM(G$37:G48),0))</f>
        <v>0</v>
      </c>
      <c r="H49" s="45">
        <f ca="1">IF(OR($B48="Усього",$B48=""),"",IF($S48=0,SUM(H$37:H48),0))</f>
        <v>0</v>
      </c>
      <c r="I49" s="45">
        <f ca="1">IF(OR($B48="Усього",$B48=""),"",IF($S48=0,SUM(I$37:I48),0))</f>
        <v>0</v>
      </c>
      <c r="J49" s="45">
        <f ca="1">IF(OR($B48="Усього",$B48=""),"",IF($S48=0,SUM(J$37:J48),0))</f>
        <v>0</v>
      </c>
      <c r="K49" s="45">
        <f ca="1">IF(OR($B48="Усього",$B48=""),"",IF($S48=0,SUM(K$37:K48),0))</f>
        <v>0</v>
      </c>
      <c r="L49" s="45">
        <f ca="1">IF(OR($B48="Усього",$B48=""),"",IF($S48=0,SUM(L$37:L48),0))</f>
        <v>0</v>
      </c>
      <c r="M49" s="45">
        <f ca="1">IF(OR($B48="Усього",$B48=""),"",IF($S48=0,SUM(M$37:M48),0))</f>
        <v>0</v>
      </c>
      <c r="N49" s="45">
        <f ca="1">IF(OR($B48="Усього",$B48=""),"",IF($S48=0,SUM(N$37:N48),0))</f>
        <v>0</v>
      </c>
      <c r="O49" s="45">
        <f ca="1">IF(OR($B48="Усього",$B48=""),"",IF($S48=0,SUM(O$37:O48),S48*O29))</f>
        <v>31.507248197371982</v>
      </c>
      <c r="P49" s="45">
        <f ca="1">IF(OR($B48="Усього",$B48=""),"",IF($S48=0,SUM(P$37:P48),0))</f>
        <v>0</v>
      </c>
      <c r="Q49" s="74" t="str">
        <f ca="1">IF(OR($B48="Усього",$B48=""),"",IF($S48=0,XIRR(D$37:D48,B$37:B48,0.2),"Х"))</f>
        <v>Х</v>
      </c>
      <c r="R49" s="75" t="str">
        <f ca="1">IF(DAY($O$14)=1,SUM(E49:P49),"Х")</f>
        <v>Х</v>
      </c>
      <c r="S49" s="76">
        <f t="shared" ca="1" si="3"/>
        <v>0</v>
      </c>
      <c r="T49" s="77"/>
      <c r="U49" s="78"/>
    </row>
    <row r="50" spans="1:23" s="79" customFormat="1" ht="12" customHeight="1" x14ac:dyDescent="0.2">
      <c r="A50" s="81"/>
      <c r="B50" s="73" t="str">
        <f ca="1">IF(DAY($O$14)=1,"","Усього")</f>
        <v>Усього</v>
      </c>
      <c r="C50" s="73"/>
      <c r="D50" s="45">
        <f ca="1">IF(DAY($O$14)=1,"",SUM(D38:D49))</f>
        <v>12731.934133094801</v>
      </c>
      <c r="E50" s="45">
        <f ca="1">IF(DAY($O$14)=1,"",SUM(E38:E49))</f>
        <v>10000</v>
      </c>
      <c r="F50" s="45">
        <f ca="1">IF(DAY($O$14)=1,"",SUM(F38:F49))</f>
        <v>2150.5304305741688</v>
      </c>
      <c r="G50" s="45">
        <f t="shared" ref="G50:P50" ca="1" si="6">IF(DAY($O$14)=1,"",SUM(G37:G49))</f>
        <v>0</v>
      </c>
      <c r="H50" s="45">
        <f t="shared" ca="1" si="6"/>
        <v>0</v>
      </c>
      <c r="I50" s="45">
        <f t="shared" ca="1" si="6"/>
        <v>0</v>
      </c>
      <c r="J50" s="45">
        <f t="shared" ca="1" si="6"/>
        <v>400</v>
      </c>
      <c r="K50" s="45">
        <f t="shared" ca="1" si="6"/>
        <v>0</v>
      </c>
      <c r="L50" s="45">
        <f t="shared" ca="1" si="6"/>
        <v>0</v>
      </c>
      <c r="M50" s="45">
        <f t="shared" ca="1" si="6"/>
        <v>0</v>
      </c>
      <c r="N50" s="45">
        <f t="shared" ca="1" si="6"/>
        <v>0</v>
      </c>
      <c r="O50" s="45">
        <f t="shared" ca="1" si="6"/>
        <v>581.40370252062939</v>
      </c>
      <c r="P50" s="45">
        <f t="shared" ca="1" si="6"/>
        <v>0</v>
      </c>
      <c r="Q50" s="74">
        <f ca="1">IF(OR($B49="Усього",$B49=""),"",IF($S49=0,XIRR(D$37:D49,B$37:B49,0.2),"Х"))</f>
        <v>0.58170337080955525</v>
      </c>
      <c r="R50" s="85">
        <f ca="1">IF(OR($B49="Усього",$B49=""),"",IF($S49=0,SUM(E50:P50),"Х"))</f>
        <v>13131.934133094797</v>
      </c>
      <c r="S50" s="76" t="str">
        <f ca="1">IF(OR(B50="Усього",B50=""),"",IF($S49=0,"",IF(DATE(YEAR(B49),MONTH(B49)+1,DAY($O$18))&gt;$O$16,0,S49-E50)))</f>
        <v/>
      </c>
      <c r="T50" s="77" t="str">
        <f ca="1">IF(AND(B50&lt;=O16,B50&lt;&gt;""),"Невідповідність дат","")</f>
        <v/>
      </c>
      <c r="U50" s="78"/>
      <c r="V50" s="82" t="e">
        <f ca="1">IF(DAY(O14)=1,DATE(YEAR(#REF!),MONTH(#REF!),DAY($O$19)),DATE(YEAR(#REF!),MONTH(#REF!)+1,DAY($O$19)))</f>
        <v>#REF!</v>
      </c>
      <c r="W50" s="83">
        <f ca="1">DATE(YEAR($O$14)+2,MONTH($O$14),DAY($O$14)-1)</f>
        <v>45167</v>
      </c>
    </row>
    <row r="51" spans="1:23" ht="6.75" customHeight="1" x14ac:dyDescent="0.25">
      <c r="B51" s="13"/>
      <c r="C51" s="13"/>
      <c r="D51" s="13"/>
      <c r="E51" s="13"/>
      <c r="F51" s="14"/>
      <c r="G51" s="14"/>
      <c r="H51" s="14"/>
      <c r="I51" s="14"/>
      <c r="J51" s="13"/>
      <c r="K51" s="13"/>
      <c r="L51" s="13"/>
      <c r="M51" s="13"/>
      <c r="N51" s="13"/>
      <c r="O51" s="13"/>
      <c r="P51" s="13"/>
      <c r="Q51" s="13"/>
      <c r="R51" s="13"/>
      <c r="S51" s="13"/>
      <c r="T51" s="13"/>
      <c r="U51" s="55"/>
    </row>
    <row r="52" spans="1:23" s="13" customFormat="1" ht="0.75" hidden="1" customHeight="1" x14ac:dyDescent="0.25">
      <c r="F52" s="37"/>
      <c r="G52" s="37"/>
      <c r="H52" s="37"/>
      <c r="I52" s="14"/>
      <c r="U52" s="55"/>
    </row>
    <row r="53" spans="1:23" x14ac:dyDescent="0.2">
      <c r="E53" s="84"/>
    </row>
    <row r="54" spans="1:23" s="13" customFormat="1" ht="18" x14ac:dyDescent="0.25">
      <c r="F54" s="14"/>
      <c r="G54" s="14"/>
      <c r="H54" s="14"/>
      <c r="I54" s="14"/>
      <c r="U54" s="55"/>
    </row>
    <row r="55" spans="1:23" s="13" customFormat="1" ht="5.25" customHeight="1" x14ac:dyDescent="0.25">
      <c r="F55" s="14"/>
      <c r="G55" s="14"/>
      <c r="H55" s="14"/>
      <c r="I55" s="14"/>
      <c r="U55" s="55"/>
    </row>
    <row r="56" spans="1:23" s="13" customFormat="1" ht="18" x14ac:dyDescent="0.25">
      <c r="B56" s="41"/>
      <c r="F56" s="14"/>
      <c r="G56" s="14"/>
      <c r="H56" s="14"/>
      <c r="I56" s="14"/>
      <c r="U56" s="55"/>
    </row>
    <row r="57" spans="1:23" s="13" customFormat="1" ht="10.5" customHeight="1" x14ac:dyDescent="0.25">
      <c r="B57" s="41"/>
      <c r="U57" s="55"/>
    </row>
    <row r="58" spans="1:23" s="13" customFormat="1" ht="18" x14ac:dyDescent="0.25">
      <c r="F58" s="14"/>
      <c r="G58" s="14"/>
      <c r="H58" s="14"/>
      <c r="I58" s="14"/>
      <c r="U58" s="55"/>
    </row>
    <row r="59" spans="1:23" s="13" customFormat="1" ht="18" x14ac:dyDescent="0.25">
      <c r="F59" s="14"/>
      <c r="G59" s="14"/>
      <c r="H59" s="14"/>
      <c r="I59" s="14"/>
      <c r="U59" s="55"/>
    </row>
    <row r="60" spans="1:23" s="13" customFormat="1" ht="18" x14ac:dyDescent="0.25">
      <c r="F60" s="14"/>
      <c r="G60" s="14"/>
      <c r="H60" s="14"/>
      <c r="I60" s="14"/>
      <c r="U60" s="55"/>
    </row>
    <row r="61" spans="1:23" s="13" customFormat="1" ht="18" x14ac:dyDescent="0.25">
      <c r="F61" s="14"/>
      <c r="G61" s="14"/>
      <c r="H61" s="14"/>
      <c r="I61" s="14"/>
      <c r="U61" s="55"/>
    </row>
    <row r="62" spans="1:23" s="13" customFormat="1" ht="18" x14ac:dyDescent="0.25">
      <c r="F62" s="14"/>
      <c r="G62" s="14"/>
      <c r="H62" s="14"/>
      <c r="I62" s="14"/>
      <c r="U62" s="55"/>
    </row>
    <row r="63" spans="1:23" s="13" customFormat="1" ht="18" x14ac:dyDescent="0.25">
      <c r="F63" s="14"/>
      <c r="G63" s="14"/>
      <c r="H63" s="14"/>
      <c r="I63" s="14"/>
      <c r="U63" s="55"/>
    </row>
    <row r="64" spans="1:23" s="13" customFormat="1" ht="18" x14ac:dyDescent="0.25">
      <c r="F64" s="14"/>
      <c r="G64" s="14"/>
      <c r="H64" s="14"/>
      <c r="I64" s="14"/>
      <c r="U64" s="55"/>
    </row>
    <row r="65" spans="4:21" s="13" customFormat="1" ht="11.25" customHeight="1" x14ac:dyDescent="0.25">
      <c r="D65" s="22"/>
      <c r="F65" s="21"/>
      <c r="G65" s="21"/>
      <c r="H65" s="21"/>
      <c r="I65" s="14"/>
      <c r="J65" s="3"/>
      <c r="K65" s="3"/>
      <c r="L65" s="3"/>
      <c r="M65" s="3"/>
      <c r="N65" s="3"/>
      <c r="U65" s="55"/>
    </row>
    <row r="66" spans="4:21" s="13" customFormat="1" ht="5.25" customHeight="1" x14ac:dyDescent="0.25">
      <c r="F66" s="14"/>
      <c r="G66" s="14"/>
      <c r="H66" s="14"/>
      <c r="I66" s="14"/>
      <c r="U66" s="55"/>
    </row>
    <row r="67" spans="4:21" s="13" customFormat="1" ht="18" hidden="1" x14ac:dyDescent="0.25">
      <c r="F67" s="14"/>
      <c r="G67" s="14"/>
      <c r="H67" s="14"/>
      <c r="I67" s="14"/>
      <c r="U67" s="55"/>
    </row>
  </sheetData>
  <protectedRanges>
    <protectedRange sqref="B10:H13 I10:N11 J12:J13" name="Диапазон12"/>
    <protectedRange sqref="B23:R24" name="Диапазон10"/>
    <protectedRange sqref="E10:H15 I10:N11 I15:N15" name="Диапазон8"/>
    <protectedRange sqref="E12:H12" name="Диапазон6"/>
    <protectedRange sqref="F19:H20" name="Диапазон4"/>
    <protectedRange sqref="O12:O13 O15:O16" name="Диапазон2"/>
    <protectedRange sqref="O7 P8:Q8 O2:Q4" name="Диапазон1"/>
    <protectedRange sqref="O9 O2:O7 B2:N9 P2:IV9" name="Диапазон5"/>
    <protectedRange sqref="B23:R24" name="Диапазон7"/>
    <protectedRange sqref="F10:H22 I10:N11 I15:N15 I17:N17 I20:N22" name="Диапазон9"/>
    <protectedRange sqref="I2:N9" name="Диапазон11"/>
    <protectedRange sqref="B54:O66" name="Диапазон3_1"/>
    <protectedRange sqref="O14" name="Диапазон2_1"/>
  </protectedRanges>
  <dataConsolidate/>
  <mergeCells count="44">
    <mergeCell ref="B1:P1"/>
    <mergeCell ref="O5:R6"/>
    <mergeCell ref="O7:P9"/>
    <mergeCell ref="J12:L12"/>
    <mergeCell ref="J13:L13"/>
    <mergeCell ref="J14:L14"/>
    <mergeCell ref="J16:L16"/>
    <mergeCell ref="B18:E18"/>
    <mergeCell ref="J18:L18"/>
    <mergeCell ref="J19:L19"/>
    <mergeCell ref="B23:R24"/>
    <mergeCell ref="B27:R27"/>
    <mergeCell ref="B28:N28"/>
    <mergeCell ref="B29:N29"/>
    <mergeCell ref="A30:R30"/>
    <mergeCell ref="A31:A34"/>
    <mergeCell ref="B31:B34"/>
    <mergeCell ref="C31:C34"/>
    <mergeCell ref="D31:D34"/>
    <mergeCell ref="E31:P31"/>
    <mergeCell ref="Q31:Q34"/>
    <mergeCell ref="R31:R34"/>
    <mergeCell ref="E32:E34"/>
    <mergeCell ref="F32:F34"/>
    <mergeCell ref="G32:P32"/>
    <mergeCell ref="G33:J33"/>
    <mergeCell ref="K33:L33"/>
    <mergeCell ref="M33:P33"/>
    <mergeCell ref="A35:A36"/>
    <mergeCell ref="B35:B36"/>
    <mergeCell ref="C35:C36"/>
    <mergeCell ref="D35:D36"/>
    <mergeCell ref="E35:E36"/>
    <mergeCell ref="F35:F36"/>
    <mergeCell ref="M35:M36"/>
    <mergeCell ref="N35:N36"/>
    <mergeCell ref="O35:O36"/>
    <mergeCell ref="P35:P36"/>
    <mergeCell ref="G35:G36"/>
    <mergeCell ref="H35:H36"/>
    <mergeCell ref="I35:I36"/>
    <mergeCell ref="J35:J36"/>
    <mergeCell ref="K35:K36"/>
    <mergeCell ref="L35:L36"/>
  </mergeCells>
  <conditionalFormatting sqref="Q28 O28">
    <cfRule type="cellIs" dxfId="0" priority="1" stopIfTrue="1" operator="equal">
      <formula>0</formula>
    </cfRule>
  </conditionalFormatting>
  <dataValidations count="4">
    <dataValidation showDropDown="1" showInputMessage="1" showErrorMessage="1" sqref="J2:N2"/>
    <dataValidation type="whole" operator="equal" allowBlank="1" showInputMessage="1" showErrorMessage="1" errorTitle="Увага!" error="За умовами продукту, підключення до M-banking є обов'язковим" sqref="F2:H2">
      <formula1>1</formula1>
    </dataValidation>
    <dataValidation type="list" allowBlank="1" showInputMessage="1" showErrorMessage="1" sqref="F19:H19">
      <formula1>$U$12:$U$13</formula1>
    </dataValidation>
    <dataValidation type="list" allowBlank="1" showInputMessage="1" showErrorMessage="1" sqref="O13">
      <formula1>$U$14:$U$15</formula1>
    </dataValidation>
  </dataValidations>
  <pageMargins left="0" right="0" top="0" bottom="0" header="0" footer="0"/>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3</xdr:col>
                    <xdr:colOff>838200</xdr:colOff>
                    <xdr:row>13</xdr:row>
                    <xdr:rowOff>9525</xdr:rowOff>
                  </from>
                  <to>
                    <xdr:col>5</xdr:col>
                    <xdr:colOff>723900</xdr:colOff>
                    <xdr:row>15</xdr:row>
                    <xdr:rowOff>28575</xdr:rowOff>
                  </to>
                </anchor>
              </controlPr>
            </control>
          </mc:Choice>
        </mc:AlternateContent>
        <mc:AlternateContent xmlns:mc="http://schemas.openxmlformats.org/markup-compatibility/2006">
          <mc:Choice Requires="x14">
            <control shapeId="19458" r:id="rId5" name="Drop Down 2">
              <controlPr locked="0" defaultSize="0" autoLine="0" autoPict="0">
                <anchor moveWithCells="1">
                  <from>
                    <xdr:col>3</xdr:col>
                    <xdr:colOff>838200</xdr:colOff>
                    <xdr:row>11</xdr:row>
                    <xdr:rowOff>0</xdr:rowOff>
                  </from>
                  <to>
                    <xdr:col>5</xdr:col>
                    <xdr:colOff>723900</xdr:colOff>
                    <xdr:row>12</xdr:row>
                    <xdr:rowOff>66675</xdr:rowOff>
                  </to>
                </anchor>
              </controlPr>
            </control>
          </mc:Choice>
        </mc:AlternateContent>
        <mc:AlternateContent xmlns:mc="http://schemas.openxmlformats.org/markup-compatibility/2006">
          <mc:Choice Requires="x14">
            <control shapeId="19459" r:id="rId6" name="Drop Down 3">
              <controlPr defaultSize="0" autoLine="0" autoPict="0">
                <anchor moveWithCells="1">
                  <from>
                    <xdr:col>17</xdr:col>
                    <xdr:colOff>57150</xdr:colOff>
                    <xdr:row>11</xdr:row>
                    <xdr:rowOff>9525</xdr:rowOff>
                  </from>
                  <to>
                    <xdr:col>17</xdr:col>
                    <xdr:colOff>752475</xdr:colOff>
                    <xdr:row>12</xdr:row>
                    <xdr:rowOff>47625</xdr:rowOff>
                  </to>
                </anchor>
              </controlPr>
            </control>
          </mc:Choice>
        </mc:AlternateContent>
        <mc:AlternateContent xmlns:mc="http://schemas.openxmlformats.org/markup-compatibility/2006">
          <mc:Choice Requires="x14">
            <control shapeId="19460" r:id="rId7" name="Drop Down 4">
              <controlPr defaultSize="0" autoLine="0" autoPict="0">
                <anchor moveWithCells="1">
                  <from>
                    <xdr:col>17</xdr:col>
                    <xdr:colOff>57150</xdr:colOff>
                    <xdr:row>12</xdr:row>
                    <xdr:rowOff>66675</xdr:rowOff>
                  </from>
                  <to>
                    <xdr:col>20</xdr:col>
                    <xdr:colOff>47625</xdr:colOff>
                    <xdr:row>13</xdr:row>
                    <xdr:rowOff>104775</xdr:rowOff>
                  </to>
                </anchor>
              </controlPr>
            </control>
          </mc:Choice>
        </mc:AlternateContent>
        <mc:AlternateContent xmlns:mc="http://schemas.openxmlformats.org/markup-compatibility/2006">
          <mc:Choice Requires="x14">
            <control shapeId="19461" r:id="rId8" name="Drop Down 5">
              <controlPr defaultSize="0" autoLine="0" autoPict="0">
                <anchor moveWithCells="1">
                  <from>
                    <xdr:col>17</xdr:col>
                    <xdr:colOff>57150</xdr:colOff>
                    <xdr:row>14</xdr:row>
                    <xdr:rowOff>38100</xdr:rowOff>
                  </from>
                  <to>
                    <xdr:col>17</xdr:col>
                    <xdr:colOff>752475</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Домовичок 36% зп</vt:lpstr>
      <vt:lpstr>Календар (6)</vt:lpstr>
      <vt:lpstr>'Домовичок 36% зп'!Область_печати</vt:lpstr>
      <vt:lpstr>'Календар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Герасимов Олександр Павлович</dc:creator>
  <cp:lastModifiedBy>Остапчук Тетяна Володимирівна</cp:lastModifiedBy>
  <cp:lastPrinted>2016-04-28T12:09:23Z</cp:lastPrinted>
  <dcterms:created xsi:type="dcterms:W3CDTF">2007-05-30T09:57:41Z</dcterms:created>
  <dcterms:modified xsi:type="dcterms:W3CDTF">2021-08-30T09:14:45Z</dcterms:modified>
</cp:coreProperties>
</file>